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papol\Documents\"/>
    </mc:Choice>
  </mc:AlternateContent>
  <bookViews>
    <workbookView xWindow="-105" yWindow="-105" windowWidth="23250" windowHeight="12570" tabRatio="500" activeTab="5"/>
  </bookViews>
  <sheets>
    <sheet name="Celkový rozpočet" sheetId="6" r:id="rId1"/>
    <sheet name="Final" sheetId="1" r:id="rId2"/>
    <sheet name="TCF" sheetId="2" r:id="rId3"/>
    <sheet name="ECF" sheetId="3" r:id="rId4"/>
    <sheet name="UUCP" sheetId="4" r:id="rId5"/>
    <sheet name="UC" sheetId="5" r:id="rId6"/>
  </sheets>
  <definedNames>
    <definedName name="_xlnm._FilterDatabase" localSheetId="5" hidden="1">UC!$A$2:$G$87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D11" i="4" l="1"/>
  <c r="E6" i="1" l="1"/>
  <c r="C6" i="1" l="1"/>
  <c r="H15" i="2" l="1"/>
  <c r="H14" i="2"/>
  <c r="H13" i="2"/>
  <c r="H12" i="2"/>
  <c r="H11" i="2"/>
  <c r="H10" i="2"/>
  <c r="H9" i="2"/>
  <c r="H8" i="2"/>
  <c r="H7" i="2"/>
  <c r="H6" i="2"/>
  <c r="H5" i="2"/>
  <c r="H16" i="2" s="1"/>
  <c r="H18" i="2" s="1"/>
  <c r="C3" i="1" s="1"/>
  <c r="H4" i="2"/>
  <c r="H3" i="2"/>
  <c r="H10" i="3"/>
  <c r="H9" i="3"/>
  <c r="H8" i="3"/>
  <c r="H7" i="3"/>
  <c r="H6" i="3"/>
  <c r="H5" i="3"/>
  <c r="H4" i="3"/>
  <c r="H3" i="3"/>
  <c r="H11" i="3" s="1"/>
  <c r="H13" i="3" s="1"/>
  <c r="C4" i="1" s="1"/>
  <c r="H13" i="4"/>
  <c r="H12" i="4"/>
  <c r="G13" i="4"/>
  <c r="G11" i="4"/>
  <c r="H11" i="4" s="1"/>
  <c r="H14" i="4" s="1"/>
  <c r="D13" i="4"/>
  <c r="J95" i="5"/>
  <c r="J94" i="5"/>
  <c r="J93" i="5"/>
  <c r="J92" i="5"/>
  <c r="J91" i="5"/>
  <c r="G5" i="4"/>
  <c r="G4" i="4"/>
  <c r="G3" i="4"/>
  <c r="H3" i="4" l="1"/>
  <c r="H6" i="4"/>
  <c r="H5" i="4"/>
  <c r="H4" i="4"/>
  <c r="H7" i="4" l="1"/>
  <c r="H16" i="4" s="1"/>
  <c r="C5" i="1" s="1"/>
  <c r="C7" i="1" s="1"/>
  <c r="C8" i="1" s="1"/>
  <c r="C9" i="1" s="1"/>
  <c r="C11" i="1" s="1"/>
  <c r="C12" i="1" s="1"/>
  <c r="C15" i="1" s="1"/>
  <c r="D4" i="6"/>
  <c r="D6" i="6"/>
  <c r="D8" i="6"/>
  <c r="C8" i="6"/>
  <c r="C7" i="6"/>
  <c r="D7" i="6" s="1"/>
  <c r="C6" i="6"/>
  <c r="C5" i="6"/>
  <c r="D5" i="6" s="1"/>
  <c r="C4" i="6"/>
  <c r="C3" i="6"/>
  <c r="D3" i="6" s="1"/>
  <c r="G2" i="6" s="1"/>
  <c r="J13" i="4"/>
  <c r="J11" i="4"/>
  <c r="E6" i="4"/>
  <c r="M95" i="5"/>
  <c r="M94" i="5"/>
  <c r="M93" i="5"/>
  <c r="M92" i="5"/>
  <c r="M91" i="5"/>
  <c r="G94" i="5"/>
  <c r="J12" i="4"/>
  <c r="C29" i="1" l="1"/>
  <c r="C16" i="1"/>
  <c r="C23" i="1" s="1"/>
  <c r="C28" i="1"/>
  <c r="C30" i="1"/>
  <c r="C27" i="1"/>
  <c r="C33" i="1"/>
  <c r="K12" i="4"/>
  <c r="K10" i="3"/>
  <c r="K9" i="3"/>
  <c r="K8" i="3"/>
  <c r="K7" i="3"/>
  <c r="K6" i="3"/>
  <c r="K5" i="3"/>
  <c r="K4" i="3"/>
  <c r="K3" i="3"/>
  <c r="K15" i="2"/>
  <c r="K14" i="2"/>
  <c r="K13" i="2"/>
  <c r="K12" i="2"/>
  <c r="K11" i="2"/>
  <c r="K10" i="2"/>
  <c r="K9" i="2"/>
  <c r="K8" i="2"/>
  <c r="K7" i="2"/>
  <c r="K6" i="2"/>
  <c r="K5" i="2"/>
  <c r="K4" i="2"/>
  <c r="K3" i="2"/>
  <c r="C34" i="1" l="1"/>
  <c r="F20" i="1"/>
  <c r="F21" i="1"/>
  <c r="F19" i="1"/>
  <c r="K11" i="3"/>
  <c r="K13" i="3" s="1"/>
  <c r="D4" i="1" s="1"/>
  <c r="E4" i="1" s="1"/>
  <c r="K16" i="2"/>
  <c r="K18" i="2" s="1"/>
  <c r="D3" i="1" s="1"/>
  <c r="E3" i="1" s="1"/>
  <c r="G95" i="5" l="1"/>
  <c r="G93" i="5"/>
  <c r="G92" i="5"/>
  <c r="G91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E12" i="4"/>
  <c r="D5" i="4"/>
  <c r="J6" i="4" s="1"/>
  <c r="K6" i="4" s="1"/>
  <c r="M5" i="1" s="1"/>
  <c r="M7" i="1" s="1"/>
  <c r="M8" i="1" s="1"/>
  <c r="M9" i="1" s="1"/>
  <c r="M11" i="1" s="1"/>
  <c r="M12" i="1" s="1"/>
  <c r="D4" i="4"/>
  <c r="D3" i="4"/>
  <c r="J3" i="4" s="1"/>
  <c r="E10" i="3"/>
  <c r="E9" i="3"/>
  <c r="E8" i="3"/>
  <c r="E7" i="3"/>
  <c r="E6" i="3"/>
  <c r="E5" i="3"/>
  <c r="E4" i="3"/>
  <c r="E3" i="3"/>
  <c r="E15" i="2"/>
  <c r="E14" i="2"/>
  <c r="E13" i="2"/>
  <c r="E12" i="2"/>
  <c r="E11" i="2"/>
  <c r="E10" i="2"/>
  <c r="E9" i="2"/>
  <c r="E8" i="2"/>
  <c r="E7" i="2"/>
  <c r="E6" i="2"/>
  <c r="E5" i="2"/>
  <c r="E4" i="2"/>
  <c r="E3" i="2"/>
  <c r="F87" i="5" l="1"/>
  <c r="E13" i="4"/>
  <c r="E3" i="4"/>
  <c r="K3" i="4"/>
  <c r="E4" i="4"/>
  <c r="J4" i="4"/>
  <c r="K4" i="4" s="1"/>
  <c r="K13" i="4"/>
  <c r="E5" i="4"/>
  <c r="J5" i="4"/>
  <c r="K5" i="4" s="1"/>
  <c r="E11" i="4"/>
  <c r="K11" i="4"/>
  <c r="E16" i="2"/>
  <c r="E11" i="3"/>
  <c r="E13" i="3" s="1"/>
  <c r="B4" i="1" s="1"/>
  <c r="E18" i="2" l="1"/>
  <c r="B3" i="1" s="1"/>
  <c r="C36" i="1"/>
  <c r="C38" i="1"/>
  <c r="C37" i="1"/>
  <c r="E14" i="4"/>
  <c r="K14" i="4"/>
  <c r="K7" i="4"/>
  <c r="D5" i="1" s="1"/>
  <c r="E5" i="1" s="1"/>
  <c r="F5" i="1" s="1"/>
  <c r="E7" i="4"/>
  <c r="K16" i="4" l="1"/>
  <c r="D7" i="1" s="1"/>
  <c r="D8" i="1" s="1"/>
  <c r="D9" i="1" s="1"/>
  <c r="D11" i="1" s="1"/>
  <c r="D2" i="6" s="1"/>
  <c r="D9" i="6" s="1"/>
  <c r="E16" i="4"/>
  <c r="B5" i="1" s="1"/>
  <c r="B12" i="1" l="1"/>
  <c r="B6" i="1"/>
  <c r="B30" i="1"/>
  <c r="G4" i="6"/>
  <c r="D12" i="1"/>
  <c r="B27" i="1"/>
  <c r="B29" i="1"/>
  <c r="B21" i="1"/>
  <c r="B23" i="1" s="1"/>
  <c r="B28" i="1"/>
  <c r="B33" i="1"/>
  <c r="B37" i="1" l="1"/>
  <c r="B36" i="1"/>
  <c r="B38" i="1"/>
  <c r="D16" i="1"/>
  <c r="D15" i="1"/>
  <c r="D29" i="1"/>
  <c r="D33" i="1"/>
  <c r="D30" i="1"/>
  <c r="D27" i="1"/>
  <c r="D28" i="1"/>
  <c r="B34" i="1"/>
  <c r="D23" i="1" l="1"/>
  <c r="G21" i="1" s="1"/>
  <c r="D38" i="1"/>
  <c r="D37" i="1"/>
  <c r="D36" i="1"/>
  <c r="G20" i="1"/>
  <c r="G19" i="1"/>
  <c r="D34" i="1"/>
  <c r="H5" i="1"/>
  <c r="H7" i="1" s="1"/>
  <c r="H8" i="1" s="1"/>
  <c r="H9" i="1" s="1"/>
  <c r="H11" i="1" s="1"/>
  <c r="H12" i="1" s="1"/>
  <c r="J5" i="1"/>
  <c r="J7" i="1" s="1"/>
  <c r="J8" i="1" s="1"/>
  <c r="J9" i="1" s="1"/>
  <c r="J11" i="1" s="1"/>
  <c r="J12" i="1" s="1"/>
  <c r="I5" i="1"/>
  <c r="I7" i="1" s="1"/>
  <c r="I8" i="1" s="1"/>
  <c r="I9" i="1" s="1"/>
  <c r="I11" i="1" s="1"/>
  <c r="I12" i="1" s="1"/>
  <c r="G5" i="1"/>
  <c r="G7" i="1" s="1"/>
  <c r="G8" i="1" s="1"/>
  <c r="G9" i="1" s="1"/>
  <c r="G11" i="1" s="1"/>
  <c r="G12" i="1" s="1"/>
  <c r="L5" i="1"/>
  <c r="L7" i="1" s="1"/>
  <c r="L8" i="1" s="1"/>
  <c r="L9" i="1" s="1"/>
  <c r="L11" i="1" s="1"/>
  <c r="L12" i="1" s="1"/>
  <c r="K5" i="1"/>
  <c r="K7" i="1" s="1"/>
  <c r="K8" i="1" s="1"/>
  <c r="K9" i="1" s="1"/>
  <c r="K11" i="1" s="1"/>
  <c r="K12" i="1" s="1"/>
  <c r="N5" i="1" l="1"/>
  <c r="F7" i="1"/>
  <c r="F8" i="1" l="1"/>
  <c r="F9" i="1" s="1"/>
  <c r="F11" i="1" s="1"/>
  <c r="F12" i="1" s="1"/>
  <c r="E7" i="1"/>
  <c r="E8" i="1" s="1"/>
  <c r="E9" i="1" s="1"/>
  <c r="E11" i="1" s="1"/>
  <c r="E12" i="1" s="1"/>
  <c r="E16" i="1" l="1"/>
  <c r="E23" i="1" s="1"/>
  <c r="E28" i="1"/>
  <c r="E33" i="1"/>
  <c r="E29" i="1"/>
  <c r="E27" i="1"/>
  <c r="E30" i="1"/>
  <c r="H21" i="1" l="1"/>
  <c r="H19" i="1"/>
  <c r="H20" i="1"/>
  <c r="E37" i="1"/>
  <c r="E34" i="1"/>
  <c r="E36" i="1"/>
  <c r="E38" i="1"/>
</calcChain>
</file>

<file path=xl/comments1.xml><?xml version="1.0" encoding="utf-8"?>
<comments xmlns="http://schemas.openxmlformats.org/spreadsheetml/2006/main">
  <authors>
    <author>Peter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38"/>
          </rPr>
          <t>Peter:</t>
        </r>
        <r>
          <rPr>
            <sz val="9"/>
            <color indexed="81"/>
            <rFont val="Tahoma"/>
            <family val="2"/>
            <charset val="238"/>
          </rPr>
          <t xml:space="preserve">
Buduje len časti služieb - funkcionality integracia a spracovania údajov:
 - Vytvorenie a testovanie
 - Zber údajov
 - Spracovanie</t>
        </r>
      </text>
    </comment>
  </commentList>
</comments>
</file>

<file path=xl/sharedStrings.xml><?xml version="1.0" encoding="utf-8"?>
<sst xmlns="http://schemas.openxmlformats.org/spreadsheetml/2006/main" count="413" uniqueCount="206">
  <si>
    <t>Final calculation</t>
  </si>
  <si>
    <t>TCF</t>
  </si>
  <si>
    <t>ECF</t>
  </si>
  <si>
    <t>UUCP</t>
  </si>
  <si>
    <t>Productivity Factor (PF)</t>
  </si>
  <si>
    <t>Adjusted Use Case Points (UCP)</t>
  </si>
  <si>
    <t>HOURS</t>
  </si>
  <si>
    <t>MANDAYS</t>
  </si>
  <si>
    <t>MD rate</t>
  </si>
  <si>
    <t>FEE</t>
  </si>
  <si>
    <t>FEE+VAT</t>
  </si>
  <si>
    <t>Nákup HW</t>
  </si>
  <si>
    <t>Nákup licencie</t>
  </si>
  <si>
    <t>Podporné aktivity</t>
  </si>
  <si>
    <t>Celkový rozpočet projektu</t>
  </si>
  <si>
    <t>Aktivita</t>
  </si>
  <si>
    <t>Suma</t>
  </si>
  <si>
    <t>Analýza</t>
  </si>
  <si>
    <t>Implementácia</t>
  </si>
  <si>
    <t>Testovanie</t>
  </si>
  <si>
    <t>Nasadenie</t>
  </si>
  <si>
    <t>Obstaranie HW</t>
  </si>
  <si>
    <t>Obstaranie SW</t>
  </si>
  <si>
    <t>Spolu</t>
  </si>
  <si>
    <t>z toho migrácia</t>
  </si>
  <si>
    <t>z toho integrácie interné</t>
  </si>
  <si>
    <t>z toho integrácie externé</t>
  </si>
  <si>
    <t>ID</t>
  </si>
  <si>
    <t>Faktor</t>
  </si>
  <si>
    <t>Váha</t>
  </si>
  <si>
    <t>Komplexnosť</t>
  </si>
  <si>
    <t>Výsledok</t>
  </si>
  <si>
    <t>T1</t>
  </si>
  <si>
    <t>Distribuovaný systém</t>
  </si>
  <si>
    <t>T2</t>
  </si>
  <si>
    <t>Výkon</t>
  </si>
  <si>
    <t>T3</t>
  </si>
  <si>
    <t>Efektívnosť pre používateľa</t>
  </si>
  <si>
    <t>T4</t>
  </si>
  <si>
    <t>Komplexnosť vnútorných procesov</t>
  </si>
  <si>
    <t>T5</t>
  </si>
  <si>
    <t>Znovapoužiteľnosť</t>
  </si>
  <si>
    <t>T6</t>
  </si>
  <si>
    <t>Jednoduchosť inštalácie</t>
  </si>
  <si>
    <t>T7</t>
  </si>
  <si>
    <t>Jednoduchosť používania</t>
  </si>
  <si>
    <t>T8</t>
  </si>
  <si>
    <t>Prenosnosť</t>
  </si>
  <si>
    <t>T9</t>
  </si>
  <si>
    <t>Jednoduchosť zmeny</t>
  </si>
  <si>
    <t>T10</t>
  </si>
  <si>
    <t>Súbežnosť</t>
  </si>
  <si>
    <t>T11</t>
  </si>
  <si>
    <t>Osobitné bezpečnostné prvky</t>
  </si>
  <si>
    <t>T12</t>
  </si>
  <si>
    <t>Poskytuje priamy prístup k tretím systémom</t>
  </si>
  <si>
    <t>T13</t>
  </si>
  <si>
    <t>Špeciálne znalosti a zručnosti používateľov</t>
  </si>
  <si>
    <t>Total factor</t>
  </si>
  <si>
    <t>E1</t>
  </si>
  <si>
    <t>Znalosť UML</t>
  </si>
  <si>
    <t>E2</t>
  </si>
  <si>
    <t>Skúsenosti s implementáciou</t>
  </si>
  <si>
    <t>E3</t>
  </si>
  <si>
    <t>Skúsenosti s objektovo orientovaným prístupom</t>
  </si>
  <si>
    <t>E4</t>
  </si>
  <si>
    <t>Schopnosť vedúcich analytikov</t>
  </si>
  <si>
    <t>E5</t>
  </si>
  <si>
    <t>Motivácia</t>
  </si>
  <si>
    <t>E6</t>
  </si>
  <si>
    <t>Stabilita požiadaviek</t>
  </si>
  <si>
    <t>E7</t>
  </si>
  <si>
    <t>Zamestnanci na čiastočný úväzok</t>
  </si>
  <si>
    <t>E8</t>
  </si>
  <si>
    <t>Zložitý programovací jazyk</t>
  </si>
  <si>
    <t>Typ use-case</t>
  </si>
  <si>
    <t>Popis</t>
  </si>
  <si>
    <t>Počet UC</t>
  </si>
  <si>
    <t>Jednoduché</t>
  </si>
  <si>
    <t>Jednoduché užívateľské rozhranie, dotýka iba jediného subjektu, databázy, scenár použitia má 3 kroky, alebo menej, implementuje menej ako 5 tried.</t>
  </si>
  <si>
    <t>Priemerné</t>
  </si>
  <si>
    <t>Viac použitých rozhraní, dotýka 2 alebo viac databáz subjektov,  4 až 7 krokov, implementuje medzi 5 až 10 tried.</t>
  </si>
  <si>
    <t>Komplexné</t>
  </si>
  <si>
    <t>Zahŕňa zložité užívateľské rozhranie, dotýka sa 3 alebo viac databáz, viac ako 7 krokov, jej implementácia sa týka viac ako 10 tried.</t>
  </si>
  <si>
    <t>Total UUCW</t>
  </si>
  <si>
    <t>Typ používateľa</t>
  </si>
  <si>
    <t>Počet používateľov</t>
  </si>
  <si>
    <t>Jednoduchý</t>
  </si>
  <si>
    <t>Používateľ je reprezentovaný iným IS s definovaným API.</t>
  </si>
  <si>
    <t>Priemerný</t>
  </si>
  <si>
    <t>Používateľ je reprezentovaný iným IS, ktorý komunikuje prostredníctvom protokolu, napr. TCP/IP.</t>
  </si>
  <si>
    <t>Komplexný</t>
  </si>
  <si>
    <t>Používateľ je človek komunikujúci prostredníctvom používateľského rozhrania.</t>
  </si>
  <si>
    <t>Total UAW</t>
  </si>
  <si>
    <t>Zoznam procesov (resp. usecase-ov)</t>
  </si>
  <si>
    <t>P.č.</t>
  </si>
  <si>
    <t>Názov</t>
  </si>
  <si>
    <t>Zložitosť</t>
  </si>
  <si>
    <t>Počet</t>
  </si>
  <si>
    <t>Modul</t>
  </si>
  <si>
    <t>API</t>
  </si>
  <si>
    <t>ESLUZBY</t>
  </si>
  <si>
    <t>IAM</t>
  </si>
  <si>
    <t>Služby</t>
  </si>
  <si>
    <t>Správa</t>
  </si>
  <si>
    <t>Externí používatelia</t>
  </si>
  <si>
    <t>Interní používatelia</t>
  </si>
  <si>
    <t>Knowledge-base</t>
  </si>
  <si>
    <t>reporty</t>
  </si>
  <si>
    <t>METIS</t>
  </si>
  <si>
    <t>spoločné pre všetky správy</t>
  </si>
  <si>
    <t>správa AZD</t>
  </si>
  <si>
    <t>správa číselníkov</t>
  </si>
  <si>
    <t>správa dimenzií</t>
  </si>
  <si>
    <t>správa domén a subdomén</t>
  </si>
  <si>
    <t>správa formulára</t>
  </si>
  <si>
    <t>správa hierarchických zoznamov kódov</t>
  </si>
  <si>
    <t>správa korešpondencií</t>
  </si>
  <si>
    <t>správa legiend</t>
  </si>
  <si>
    <t>správa modulov</t>
  </si>
  <si>
    <t>správa otázky</t>
  </si>
  <si>
    <t>správa premenných zisťovania</t>
  </si>
  <si>
    <t>správa sekcie</t>
  </si>
  <si>
    <t>správa ukazovateľov</t>
  </si>
  <si>
    <t>správa vysvetliviek</t>
  </si>
  <si>
    <t>Publikovanie správ a správa obsahu</t>
  </si>
  <si>
    <t>PORTAL</t>
  </si>
  <si>
    <t>Správa portálu</t>
  </si>
  <si>
    <t>Správa autokorekcií</t>
  </si>
  <si>
    <t>PRIPRAVA</t>
  </si>
  <si>
    <t>Správa dokumentácie z vyhodnocovania</t>
  </si>
  <si>
    <t>Správa extrémov</t>
  </si>
  <si>
    <t>Správa harmonogramu</t>
  </si>
  <si>
    <t>Správa imputácií</t>
  </si>
  <si>
    <t>Správa kontrol</t>
  </si>
  <si>
    <t>Správa metód určenia váh</t>
  </si>
  <si>
    <t>Správa projektovej dokumentácie</t>
  </si>
  <si>
    <t>Správa protokolov o kvalite</t>
  </si>
  <si>
    <t>Správa správcov AZ</t>
  </si>
  <si>
    <t>Správa SSJ</t>
  </si>
  <si>
    <t>Správa testovania zisťovaní</t>
  </si>
  <si>
    <t>Správa zisťovaní</t>
  </si>
  <si>
    <t>Správa žiadostí o zisťovanie</t>
  </si>
  <si>
    <t>Diseminácia Eurostat</t>
  </si>
  <si>
    <t>SDMX</t>
  </si>
  <si>
    <t>Správa štrukturálnych schém a konceptov</t>
  </si>
  <si>
    <t>Transformačné nástroje</t>
  </si>
  <si>
    <t>VBD</t>
  </si>
  <si>
    <t>transformácia do ZBD</t>
  </si>
  <si>
    <t>ZBER</t>
  </si>
  <si>
    <t>Zisťovanie</t>
  </si>
  <si>
    <t>Celkom</t>
  </si>
  <si>
    <t>občan</t>
  </si>
  <si>
    <t>občan (G2C)</t>
  </si>
  <si>
    <t>podnikateľ</t>
  </si>
  <si>
    <t>Podnikateľ (G2B)</t>
  </si>
  <si>
    <t>Zamestnanec SU</t>
  </si>
  <si>
    <t>interný subjekt VS (G2E)</t>
  </si>
  <si>
    <t>Informačný systém</t>
  </si>
  <si>
    <t>ISVS organizácie VS (G2G)</t>
  </si>
  <si>
    <t>baseline</t>
  </si>
  <si>
    <t>target</t>
  </si>
  <si>
    <t>target (všetky BP GSBOP + 4GAMSO)</t>
  </si>
  <si>
    <t>Povinná osoba</t>
  </si>
  <si>
    <t>externý subjekt VS (G2G)</t>
  </si>
  <si>
    <t>riadiace GAMSO</t>
  </si>
  <si>
    <t>???</t>
  </si>
  <si>
    <t>Polozka rozpočtu</t>
  </si>
  <si>
    <t>Premenná</t>
  </si>
  <si>
    <t>Suma s DPH</t>
  </si>
  <si>
    <t>Suma bez DPH</t>
  </si>
  <si>
    <t>Strop</t>
  </si>
  <si>
    <t>SW dodávka</t>
  </si>
  <si>
    <t>Licencie</t>
  </si>
  <si>
    <t>Migracia</t>
  </si>
  <si>
    <t>Integrácia</t>
  </si>
  <si>
    <t>Riadenie dodávky</t>
  </si>
  <si>
    <t>Partnerská dohoda</t>
  </si>
  <si>
    <t>Riadenie a publicita</t>
  </si>
  <si>
    <t>Celková hodnota</t>
  </si>
  <si>
    <t>Integrácie a automatizacie</t>
  </si>
  <si>
    <t>A</t>
  </si>
  <si>
    <t>Povodny projekt (pokrýva 5BP/8BP GSBPM)</t>
  </si>
  <si>
    <t>Alternatíva 1 (pokrýva 5BP/8BP GSBPM) + integrácia a automat</t>
  </si>
  <si>
    <t>Alt1</t>
  </si>
  <si>
    <t>Variant 1</t>
  </si>
  <si>
    <t>Variant 2</t>
  </si>
  <si>
    <t>Projektové riadenie</t>
  </si>
  <si>
    <t>Publicita</t>
  </si>
  <si>
    <t>komplex</t>
  </si>
  <si>
    <t>BS1</t>
  </si>
  <si>
    <t>BS2</t>
  </si>
  <si>
    <t>BS3</t>
  </si>
  <si>
    <t>BS4</t>
  </si>
  <si>
    <t>BS5</t>
  </si>
  <si>
    <t>BS7</t>
  </si>
  <si>
    <t>BS8</t>
  </si>
  <si>
    <t>BS9</t>
  </si>
  <si>
    <t>Špecifikácia potrieb</t>
  </si>
  <si>
    <t>Návrh</t>
  </si>
  <si>
    <t>Vytvorenie a testovanie</t>
  </si>
  <si>
    <t>Zber údajov</t>
  </si>
  <si>
    <t>Spracovanie</t>
  </si>
  <si>
    <t>Zverejňovanie a poskytovanie</t>
  </si>
  <si>
    <t>Hodnotenie</t>
  </si>
  <si>
    <t>GSBPM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</si>
</sst>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#,##0.00&quot; €&quot;"/>
    <numFmt numFmtId="165" formatCode="_-* #,##0.00\ [$€-41B]_-;\-* #,##0.00\ [$€-41B]_-;_-* \-??\ [$€-41B]_-;_-@_-"/>
    <numFmt numFmtId="166" formatCode="#,##0\ &quot;€&quot;"/>
    <numFmt numFmtId="167" formatCode="_-* #,##0.00\ [$€-41B]_-;\-* #,##0.00\ [$€-41B]_-;_-* &quot;-&quot;??\ [$€-41B]_-;_-@_-"/>
    <numFmt numFmtId="168" formatCode="0.0%"/>
    <numFmt numFmtId="169" formatCode="0.000%"/>
  </numFmts>
  <fonts count="14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1"/>
    </font>
    <font>
      <b/>
      <sz val="9"/>
      <color rgb="FFFF0000"/>
      <name val="Verdana"/>
      <family val="2"/>
      <charset val="1"/>
    </font>
    <font>
      <b/>
      <sz val="9"/>
      <color rgb="FF000080"/>
      <name val="Verdana"/>
      <family val="2"/>
      <charset val="1"/>
    </font>
    <font>
      <b/>
      <sz val="16"/>
      <color rgb="FFFF0000"/>
      <name val="Verdana"/>
      <family val="2"/>
      <charset val="238"/>
    </font>
    <font>
      <b/>
      <sz val="16"/>
      <color rgb="FFFF0000"/>
      <name val="Calibri"/>
      <family val="2"/>
      <charset val="238"/>
    </font>
    <font>
      <sz val="9"/>
      <color rgb="FF000000"/>
      <name val="Verdana"/>
      <family val="2"/>
      <charset val="1"/>
    </font>
    <font>
      <sz val="10"/>
      <color rgb="FF000000"/>
      <name val="Arial Narrow"/>
      <family val="2"/>
      <charset val="1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9"/>
      <color rgb="FF000000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FAC090"/>
      </patternFill>
    </fill>
    <fill>
      <patternFill patternType="solid">
        <fgColor rgb="FFD9D9D9"/>
        <bgColor rgb="FFC6D9F1"/>
      </patternFill>
    </fill>
    <fill>
      <patternFill patternType="solid">
        <fgColor rgb="FFFFFF00"/>
        <bgColor rgb="FFFFFF00"/>
      </patternFill>
    </fill>
    <fill>
      <patternFill patternType="solid">
        <fgColor rgb="FFFAC090"/>
        <bgColor rgb="FFFFCC99"/>
      </patternFill>
    </fill>
    <fill>
      <patternFill patternType="solid">
        <fgColor rgb="FFC6D9F1"/>
        <bgColor rgb="FFD9D9D9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Border="0" applyAlignment="0" applyProtection="0"/>
    <xf numFmtId="0" fontId="9" fillId="0" borderId="0" applyBorder="0" applyProtection="0">
      <alignment horizontal="left"/>
    </xf>
    <xf numFmtId="0" fontId="9" fillId="0" borderId="0" applyBorder="0" applyProtection="0"/>
  </cellStyleXfs>
  <cellXfs count="8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horizontal="right" vertical="top" wrapText="1"/>
    </xf>
    <xf numFmtId="3" fontId="2" fillId="3" borderId="0" xfId="0" applyNumberFormat="1" applyFont="1" applyFill="1" applyAlignment="1">
      <alignment horizontal="right" vertical="top" wrapText="1"/>
    </xf>
    <xf numFmtId="0" fontId="3" fillId="4" borderId="0" xfId="0" applyFont="1" applyFill="1" applyAlignment="1">
      <alignment vertical="top"/>
    </xf>
    <xf numFmtId="3" fontId="3" fillId="4" borderId="0" xfId="0" applyNumberFormat="1" applyFont="1" applyFill="1" applyAlignment="1">
      <alignment horizontal="right" vertical="top" wrapText="1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horizontal="right" vertical="top" wrapText="1"/>
    </xf>
    <xf numFmtId="0" fontId="4" fillId="5" borderId="0" xfId="0" applyFont="1" applyFill="1" applyAlignment="1">
      <alignment vertical="top"/>
    </xf>
    <xf numFmtId="3" fontId="4" fillId="5" borderId="0" xfId="0" applyNumberFormat="1" applyFont="1" applyFill="1" applyAlignment="1">
      <alignment horizontal="right" vertical="top" wrapText="1"/>
    </xf>
    <xf numFmtId="0" fontId="2" fillId="5" borderId="0" xfId="0" applyFont="1" applyFill="1" applyAlignment="1">
      <alignment vertical="top"/>
    </xf>
    <xf numFmtId="3" fontId="2" fillId="5" borderId="0" xfId="0" applyNumberFormat="1" applyFont="1" applyFill="1" applyAlignment="1">
      <alignment horizontal="right" vertical="top" wrapText="1"/>
    </xf>
    <xf numFmtId="2" fontId="0" fillId="0" borderId="0" xfId="0" applyNumberFormat="1"/>
    <xf numFmtId="0" fontId="5" fillId="6" borderId="0" xfId="0" applyFont="1" applyFill="1" applyAlignment="1">
      <alignment vertical="top"/>
    </xf>
    <xf numFmtId="164" fontId="6" fillId="6" borderId="0" xfId="0" applyNumberFormat="1" applyFont="1" applyFill="1"/>
    <xf numFmtId="4" fontId="0" fillId="0" borderId="0" xfId="0" applyNumberFormat="1"/>
    <xf numFmtId="165" fontId="0" fillId="0" borderId="0" xfId="0" applyNumberFormat="1"/>
    <xf numFmtId="0" fontId="0" fillId="7" borderId="0" xfId="0" applyFill="1"/>
    <xf numFmtId="165" fontId="0" fillId="7" borderId="0" xfId="0" applyNumberFormat="1" applyFill="1"/>
    <xf numFmtId="0" fontId="2" fillId="3" borderId="0" xfId="0" applyFont="1" applyFill="1" applyAlignment="1">
      <alignment vertical="top" wrapText="1"/>
    </xf>
    <xf numFmtId="0" fontId="2" fillId="3" borderId="0" xfId="0" applyFont="1" applyFill="1" applyAlignment="1">
      <alignment horizontal="center" vertical="top"/>
    </xf>
    <xf numFmtId="0" fontId="2" fillId="5" borderId="0" xfId="0" applyFont="1" applyFill="1" applyAlignment="1">
      <alignment vertical="top" wrapText="1"/>
    </xf>
    <xf numFmtId="0" fontId="2" fillId="5" borderId="0" xfId="0" applyFont="1" applyFill="1" applyAlignment="1">
      <alignment horizontal="center" vertical="top"/>
    </xf>
    <xf numFmtId="0" fontId="2" fillId="8" borderId="0" xfId="0" applyFont="1" applyFill="1" applyAlignment="1">
      <alignment vertical="top"/>
    </xf>
    <xf numFmtId="0" fontId="2" fillId="8" borderId="0" xfId="0" applyFont="1" applyFill="1" applyAlignment="1">
      <alignment vertical="top" wrapText="1"/>
    </xf>
    <xf numFmtId="0" fontId="2" fillId="8" borderId="0" xfId="0" applyFont="1" applyFill="1" applyAlignment="1">
      <alignment horizontal="center" vertical="top"/>
    </xf>
    <xf numFmtId="3" fontId="2" fillId="3" borderId="0" xfId="0" applyNumberFormat="1" applyFont="1" applyFill="1" applyAlignment="1">
      <alignment horizontal="right" vertical="top"/>
    </xf>
    <xf numFmtId="3" fontId="2" fillId="5" borderId="0" xfId="0" applyNumberFormat="1" applyFont="1" applyFill="1" applyAlignment="1">
      <alignment horizontal="right" vertical="top"/>
    </xf>
    <xf numFmtId="0" fontId="2" fillId="2" borderId="0" xfId="0" applyFont="1" applyFill="1" applyAlignment="1">
      <alignment horizontal="center" vertical="top"/>
    </xf>
    <xf numFmtId="0" fontId="2" fillId="3" borderId="0" xfId="0" applyFont="1" applyFill="1" applyAlignment="1">
      <alignment horizontal="right" vertical="top"/>
    </xf>
    <xf numFmtId="0" fontId="2" fillId="5" borderId="0" xfId="0" applyFont="1" applyFill="1" applyAlignment="1">
      <alignment horizontal="right"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/>
    </xf>
    <xf numFmtId="0" fontId="9" fillId="0" borderId="1" xfId="2" applyBorder="1">
      <alignment horizontal="left"/>
    </xf>
    <xf numFmtId="0" fontId="9" fillId="0" borderId="1" xfId="2" applyBorder="1" applyAlignment="1">
      <alignment horizontal="right"/>
    </xf>
    <xf numFmtId="0" fontId="9" fillId="0" borderId="1" xfId="3" applyBorder="1"/>
    <xf numFmtId="0" fontId="7" fillId="0" borderId="1" xfId="0" applyFont="1" applyBorder="1"/>
    <xf numFmtId="0" fontId="2" fillId="0" borderId="1" xfId="0" applyFont="1" applyBorder="1" applyAlignment="1">
      <alignment vertical="top"/>
    </xf>
    <xf numFmtId="0" fontId="8" fillId="0" borderId="0" xfId="0" applyFont="1" applyAlignment="1">
      <alignment horizontal="left" vertical="top" wrapText="1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/>
    </xf>
    <xf numFmtId="3" fontId="2" fillId="5" borderId="1" xfId="0" applyNumberFormat="1" applyFont="1" applyFill="1" applyBorder="1" applyAlignment="1">
      <alignment horizontal="right" vertical="top"/>
    </xf>
    <xf numFmtId="44" fontId="1" fillId="0" borderId="0" xfId="1"/>
    <xf numFmtId="0" fontId="2" fillId="2" borderId="2" xfId="0" applyFont="1" applyFill="1" applyBorder="1" applyAlignment="1">
      <alignment vertical="top"/>
    </xf>
    <xf numFmtId="0" fontId="2" fillId="3" borderId="2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center" vertical="top"/>
    </xf>
    <xf numFmtId="0" fontId="0" fillId="0" borderId="2" xfId="0" applyBorder="1"/>
    <xf numFmtId="0" fontId="2" fillId="8" borderId="2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166" fontId="0" fillId="0" borderId="0" xfId="0" applyNumberFormat="1"/>
    <xf numFmtId="9" fontId="0" fillId="0" borderId="0" xfId="0" applyNumberFormat="1"/>
    <xf numFmtId="3" fontId="0" fillId="0" borderId="0" xfId="0" applyNumberFormat="1"/>
    <xf numFmtId="167" fontId="0" fillId="0" borderId="0" xfId="0" applyNumberFormat="1"/>
    <xf numFmtId="0" fontId="0" fillId="0" borderId="1" xfId="2" applyFont="1" applyBorder="1">
      <alignment horizontal="left"/>
    </xf>
    <xf numFmtId="168" fontId="0" fillId="0" borderId="0" xfId="0" applyNumberFormat="1"/>
    <xf numFmtId="0" fontId="10" fillId="0" borderId="0" xfId="0" applyFont="1" applyAlignment="1">
      <alignment horizontal="left" indent="1"/>
    </xf>
    <xf numFmtId="169" fontId="0" fillId="0" borderId="0" xfId="0" applyNumberFormat="1"/>
    <xf numFmtId="0" fontId="13" fillId="3" borderId="0" xfId="0" applyFont="1" applyFill="1" applyAlignment="1">
      <alignment horizontal="right" vertical="top" wrapText="1"/>
    </xf>
    <xf numFmtId="0" fontId="10" fillId="0" borderId="0" xfId="0" applyFont="1"/>
    <xf numFmtId="3" fontId="13" fillId="3" borderId="0" xfId="0" applyNumberFormat="1" applyFont="1" applyFill="1" applyAlignment="1">
      <alignment horizontal="right" vertical="top" wrapText="1"/>
    </xf>
    <xf numFmtId="3" fontId="10" fillId="0" borderId="0" xfId="0" applyNumberFormat="1" applyFont="1"/>
    <xf numFmtId="0" fontId="2" fillId="2" borderId="0" xfId="0" applyFont="1" applyFill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</cellXfs>
  <cellStyles count="4">
    <cellStyle name="Hodnota kontingenčnej tabuľky" xfId="3"/>
    <cellStyle name="Kategória kontingenčnej tabuľky" xfId="2"/>
    <cellStyle name="Mena" xfId="1" builtinId="4"/>
    <cellStyle name="Normálne" xfId="0" builtinId="0"/>
  </cellStyles>
  <dxfs count="5"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3" formatCode="0%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AC090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uľka1" displayName="Tabuľka1" ref="A1:D9" totalsRowCount="1">
  <autoFilter ref="A1:D8"/>
  <tableColumns count="4">
    <tableColumn id="1" name="Polozka rozpočtu" totalsRowLabel="Celková hodnota"/>
    <tableColumn id="2" name="Premenná" dataDxfId="4"/>
    <tableColumn id="3" name="Suma s DPH" dataDxfId="3" totalsRowDxfId="2"/>
    <tableColumn id="4" name="Suma bez DPH" totalsRowFunction="sum" dataDxfId="1" totalsRowDxfId="0">
      <calculatedColumnFormula>Tabuľka1[[#This Row],[Suma s DPH]]/1.2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C26" sqref="C26"/>
    </sheetView>
  </sheetViews>
  <sheetFormatPr defaultRowHeight="15" x14ac:dyDescent="0.25"/>
  <cols>
    <col min="1" max="1" width="18.7109375" bestFit="1" customWidth="1"/>
    <col min="2" max="2" width="12.42578125" bestFit="1" customWidth="1"/>
    <col min="3" max="3" width="13.5703125" bestFit="1" customWidth="1"/>
    <col min="4" max="4" width="16" bestFit="1" customWidth="1"/>
    <col min="6" max="6" width="5.7109375" bestFit="1" customWidth="1"/>
    <col min="7" max="7" width="11.28515625" bestFit="1" customWidth="1"/>
  </cols>
  <sheetData>
    <row r="1" spans="1:7" x14ac:dyDescent="0.25">
      <c r="A1" t="s">
        <v>167</v>
      </c>
      <c r="B1" t="s">
        <v>168</v>
      </c>
      <c r="C1" t="s">
        <v>169</v>
      </c>
      <c r="D1" t="s">
        <v>170</v>
      </c>
      <c r="F1" t="s">
        <v>171</v>
      </c>
      <c r="G1" s="62">
        <v>21000000</v>
      </c>
    </row>
    <row r="2" spans="1:7" x14ac:dyDescent="0.25">
      <c r="A2" t="s">
        <v>172</v>
      </c>
      <c r="C2" s="62"/>
      <c r="D2" s="62">
        <f>Final!D11</f>
        <v>23322758.400000002</v>
      </c>
      <c r="G2" s="62">
        <f>G1-SUM(D3:D8)</f>
        <v>14875000</v>
      </c>
    </row>
    <row r="3" spans="1:7" x14ac:dyDescent="0.25">
      <c r="A3" t="s">
        <v>173</v>
      </c>
      <c r="B3" s="63">
        <v>7.0000000000000007E-2</v>
      </c>
      <c r="C3" s="62">
        <f t="shared" ref="C3:C8" si="0">B3*$G$1</f>
        <v>1470000.0000000002</v>
      </c>
      <c r="D3" s="62">
        <f>Tabuľka1[[#This Row],[Suma s DPH]]/1.2</f>
        <v>1225000.0000000002</v>
      </c>
    </row>
    <row r="4" spans="1:7" x14ac:dyDescent="0.25">
      <c r="A4" t="s">
        <v>174</v>
      </c>
      <c r="B4" s="63">
        <v>7.0000000000000007E-2</v>
      </c>
      <c r="C4" s="62">
        <f t="shared" si="0"/>
        <v>1470000.0000000002</v>
      </c>
      <c r="D4" s="62">
        <f>Tabuľka1[[#This Row],[Suma s DPH]]/1.2</f>
        <v>1225000.0000000002</v>
      </c>
      <c r="G4" s="62">
        <f>G2-D2</f>
        <v>-8447758.4000000022</v>
      </c>
    </row>
    <row r="5" spans="1:7" x14ac:dyDescent="0.25">
      <c r="A5" t="s">
        <v>175</v>
      </c>
      <c r="B5" s="63">
        <v>0.1</v>
      </c>
      <c r="C5" s="62">
        <f t="shared" si="0"/>
        <v>2100000</v>
      </c>
      <c r="D5" s="62">
        <f>Tabuľka1[[#This Row],[Suma s DPH]]/1.2</f>
        <v>1750000</v>
      </c>
    </row>
    <row r="6" spans="1:7" x14ac:dyDescent="0.25">
      <c r="A6" t="s">
        <v>176</v>
      </c>
      <c r="B6" s="63">
        <v>0.04</v>
      </c>
      <c r="C6" s="62">
        <f t="shared" si="0"/>
        <v>840000</v>
      </c>
      <c r="D6" s="62">
        <f>Tabuľka1[[#This Row],[Suma s DPH]]/1.2</f>
        <v>700000</v>
      </c>
    </row>
    <row r="7" spans="1:7" x14ac:dyDescent="0.25">
      <c r="A7" t="s">
        <v>177</v>
      </c>
      <c r="B7" s="63">
        <v>0.03</v>
      </c>
      <c r="C7" s="62">
        <f t="shared" si="0"/>
        <v>630000</v>
      </c>
      <c r="D7" s="62">
        <f>Tabuľka1[[#This Row],[Suma s DPH]]/1.2</f>
        <v>525000</v>
      </c>
    </row>
    <row r="8" spans="1:7" x14ac:dyDescent="0.25">
      <c r="A8" t="s">
        <v>178</v>
      </c>
      <c r="B8" s="63">
        <v>0.04</v>
      </c>
      <c r="C8" s="62">
        <f t="shared" si="0"/>
        <v>840000</v>
      </c>
      <c r="D8" s="62">
        <f>Tabuľka1[[#This Row],[Suma s DPH]]/1.2</f>
        <v>700000</v>
      </c>
    </row>
    <row r="9" spans="1:7" x14ac:dyDescent="0.25">
      <c r="A9" t="s">
        <v>179</v>
      </c>
      <c r="C9" s="62"/>
      <c r="D9" s="62">
        <f>SUBTOTAL(109,Tabuľka1[Suma bez DPH])</f>
        <v>29447758.400000002</v>
      </c>
    </row>
    <row r="10" spans="1:7" x14ac:dyDescent="0.25">
      <c r="D10" s="62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8"/>
  <sheetViews>
    <sheetView zoomScaleNormal="100" workbookViewId="0">
      <pane ySplit="2" topLeftCell="A3" activePane="bottomLeft" state="frozen"/>
      <selection pane="bottomLeft" activeCell="C6" sqref="C6"/>
    </sheetView>
  </sheetViews>
  <sheetFormatPr defaultRowHeight="15" x14ac:dyDescent="0.25"/>
  <cols>
    <col min="1" max="1" width="46.85546875" customWidth="1"/>
    <col min="2" max="5" width="22.140625" customWidth="1"/>
    <col min="6" max="6" width="9.5703125" bestFit="1" customWidth="1"/>
    <col min="7" max="7" width="9.28515625" customWidth="1"/>
    <col min="8" max="8" width="11.42578125" customWidth="1"/>
    <col min="9" max="10" width="8.85546875" customWidth="1"/>
    <col min="11" max="11" width="10.42578125" customWidth="1"/>
    <col min="12" max="1026" width="8.85546875" customWidth="1"/>
  </cols>
  <sheetData>
    <row r="1" spans="1:14" x14ac:dyDescent="0.25">
      <c r="F1" t="s">
        <v>198</v>
      </c>
      <c r="G1" t="s">
        <v>199</v>
      </c>
      <c r="H1" t="s">
        <v>200</v>
      </c>
      <c r="I1" t="s">
        <v>201</v>
      </c>
      <c r="J1" t="s">
        <v>202</v>
      </c>
      <c r="K1" t="s">
        <v>203</v>
      </c>
      <c r="L1" t="s">
        <v>204</v>
      </c>
      <c r="M1" t="s">
        <v>205</v>
      </c>
    </row>
    <row r="2" spans="1:14" x14ac:dyDescent="0.25">
      <c r="A2" s="2" t="s">
        <v>0</v>
      </c>
      <c r="B2" s="3" t="s">
        <v>160</v>
      </c>
      <c r="C2" s="3" t="s">
        <v>185</v>
      </c>
      <c r="D2" s="3" t="s">
        <v>189</v>
      </c>
      <c r="E2" s="3" t="s">
        <v>186</v>
      </c>
      <c r="F2" s="3" t="s">
        <v>190</v>
      </c>
      <c r="G2" s="3" t="s">
        <v>191</v>
      </c>
      <c r="H2" s="3" t="s">
        <v>192</v>
      </c>
      <c r="I2" s="3" t="s">
        <v>193</v>
      </c>
      <c r="J2" s="3" t="s">
        <v>194</v>
      </c>
      <c r="K2" s="3" t="s">
        <v>195</v>
      </c>
      <c r="L2" s="3" t="s">
        <v>196</v>
      </c>
      <c r="M2" s="3" t="s">
        <v>197</v>
      </c>
    </row>
    <row r="3" spans="1:14" ht="13.15" customHeight="1" x14ac:dyDescent="0.25">
      <c r="A3" s="4" t="s">
        <v>1</v>
      </c>
      <c r="B3" s="70">
        <f>TCF!E18</f>
        <v>1.06</v>
      </c>
      <c r="C3" s="70">
        <f>TCF!H18</f>
        <v>1.1400000000000001</v>
      </c>
      <c r="D3" s="70">
        <f>TCF!K18</f>
        <v>1.1400000000000001</v>
      </c>
      <c r="E3" s="71">
        <f>D3</f>
        <v>1.1400000000000001</v>
      </c>
      <c r="H3" s="47"/>
    </row>
    <row r="4" spans="1:14" x14ac:dyDescent="0.25">
      <c r="A4" s="4" t="s">
        <v>2</v>
      </c>
      <c r="B4" s="70">
        <f>ECF!E13</f>
        <v>0.93499999999999994</v>
      </c>
      <c r="C4" s="70">
        <f>ECF!H13</f>
        <v>1.0099999999999998</v>
      </c>
      <c r="D4" s="70">
        <f>ECF!K13</f>
        <v>1.0099999999999998</v>
      </c>
      <c r="E4" s="71">
        <f>D4</f>
        <v>1.0099999999999998</v>
      </c>
    </row>
    <row r="5" spans="1:14" x14ac:dyDescent="0.25">
      <c r="A5" s="4" t="s">
        <v>3</v>
      </c>
      <c r="B5" s="72">
        <f>UUCP!E16</f>
        <v>4540</v>
      </c>
      <c r="C5" s="72">
        <f>UUCP!H16</f>
        <v>1685</v>
      </c>
      <c r="D5" s="72">
        <f>UUCP!K7</f>
        <v>6752</v>
      </c>
      <c r="E5" s="73">
        <f>D5</f>
        <v>6752</v>
      </c>
      <c r="F5">
        <f>($E$5-UUCP!$K$6)*0.1</f>
        <v>628.80000000000007</v>
      </c>
      <c r="G5">
        <f>($E$5-UUCP!$K$6)*0.1</f>
        <v>628.80000000000007</v>
      </c>
      <c r="H5">
        <f>($E$5-UUCP!$K$6)*0.15</f>
        <v>943.19999999999993</v>
      </c>
      <c r="I5">
        <f>($E$5-UUCP!$K$6)*0.15</f>
        <v>943.19999999999993</v>
      </c>
      <c r="J5">
        <f>($E$5-UUCP!$K$6)*0.2</f>
        <v>1257.6000000000001</v>
      </c>
      <c r="K5">
        <f>($E$5-UUCP!$K$6)*0.1</f>
        <v>628.80000000000007</v>
      </c>
      <c r="L5">
        <f>($E$5-UUCP!$K$6)*0.05</f>
        <v>314.40000000000003</v>
      </c>
      <c r="M5" s="64">
        <f>UUCP!K6</f>
        <v>464</v>
      </c>
      <c r="N5">
        <f>SUM(F5:M5)</f>
        <v>5808.8</v>
      </c>
    </row>
    <row r="6" spans="1:14" x14ac:dyDescent="0.25">
      <c r="A6" s="4" t="s">
        <v>4</v>
      </c>
      <c r="B6" s="5">
        <f>ROUND(B7/B5,0)</f>
        <v>34</v>
      </c>
      <c r="C6" s="5">
        <f>D6*0.5</f>
        <v>20</v>
      </c>
      <c r="D6" s="5">
        <v>40</v>
      </c>
      <c r="E6" s="5">
        <f>D6*0.45</f>
        <v>18</v>
      </c>
    </row>
    <row r="7" spans="1:14" x14ac:dyDescent="0.25">
      <c r="A7" s="4" t="s">
        <v>5</v>
      </c>
      <c r="B7" s="6">
        <f>B8</f>
        <v>155000</v>
      </c>
      <c r="C7" s="6">
        <f>C3*C4*C5*C6</f>
        <v>38802.18</v>
      </c>
      <c r="D7" s="6">
        <f>D3*D4*D5*D6</f>
        <v>310970.11200000002</v>
      </c>
      <c r="E7" s="6">
        <f>SUM(F7:M7)</f>
        <v>120388.54175999999</v>
      </c>
      <c r="F7" s="6">
        <f t="shared" ref="F7:M7" si="0">F5*$E$3*$E$4*$E$6</f>
        <v>13032.00576</v>
      </c>
      <c r="G7" s="6">
        <f t="shared" si="0"/>
        <v>13032.00576</v>
      </c>
      <c r="H7" s="6">
        <f t="shared" si="0"/>
        <v>19548.00864</v>
      </c>
      <c r="I7" s="6">
        <f t="shared" si="0"/>
        <v>19548.00864</v>
      </c>
      <c r="J7" s="6">
        <f t="shared" si="0"/>
        <v>26064.01152</v>
      </c>
      <c r="K7" s="6">
        <f t="shared" si="0"/>
        <v>13032.00576</v>
      </c>
      <c r="L7" s="6">
        <f t="shared" si="0"/>
        <v>6516.00288</v>
      </c>
      <c r="M7" s="6">
        <f t="shared" si="0"/>
        <v>9616.4927999999982</v>
      </c>
    </row>
    <row r="8" spans="1:14" x14ac:dyDescent="0.25">
      <c r="A8" s="7" t="s">
        <v>6</v>
      </c>
      <c r="B8" s="8">
        <f>B9*8</f>
        <v>155000</v>
      </c>
      <c r="C8" s="8">
        <f>C7</f>
        <v>38802.18</v>
      </c>
      <c r="D8" s="8">
        <f>D7</f>
        <v>310970.11200000002</v>
      </c>
      <c r="E8" s="8">
        <f>E7</f>
        <v>120388.54175999999</v>
      </c>
      <c r="F8">
        <f>F7</f>
        <v>13032.00576</v>
      </c>
      <c r="G8">
        <f t="shared" ref="G8:M8" si="1">G7</f>
        <v>13032.00576</v>
      </c>
      <c r="H8">
        <f t="shared" si="1"/>
        <v>19548.00864</v>
      </c>
      <c r="I8">
        <f t="shared" si="1"/>
        <v>19548.00864</v>
      </c>
      <c r="J8">
        <f t="shared" si="1"/>
        <v>26064.01152</v>
      </c>
      <c r="K8">
        <f t="shared" si="1"/>
        <v>13032.00576</v>
      </c>
      <c r="L8">
        <f t="shared" si="1"/>
        <v>6516.00288</v>
      </c>
      <c r="M8">
        <f t="shared" si="1"/>
        <v>9616.4927999999982</v>
      </c>
    </row>
    <row r="9" spans="1:14" x14ac:dyDescent="0.25">
      <c r="A9" s="7" t="s">
        <v>7</v>
      </c>
      <c r="B9" s="8">
        <f>B11/B10</f>
        <v>19375</v>
      </c>
      <c r="C9" s="8">
        <f>C8/8</f>
        <v>4850.2725</v>
      </c>
      <c r="D9" s="8">
        <f>D8/8</f>
        <v>38871.264000000003</v>
      </c>
      <c r="E9" s="8">
        <f>E8/8</f>
        <v>15048.567719999999</v>
      </c>
      <c r="F9">
        <f>F8/8</f>
        <v>1629.00072</v>
      </c>
      <c r="G9">
        <f t="shared" ref="G9:M9" si="2">G8/8</f>
        <v>1629.00072</v>
      </c>
      <c r="H9">
        <f t="shared" si="2"/>
        <v>2443.50108</v>
      </c>
      <c r="I9">
        <f t="shared" si="2"/>
        <v>2443.50108</v>
      </c>
      <c r="J9">
        <f t="shared" si="2"/>
        <v>3258.00144</v>
      </c>
      <c r="K9">
        <f t="shared" si="2"/>
        <v>1629.00072</v>
      </c>
      <c r="L9">
        <f t="shared" si="2"/>
        <v>814.50036</v>
      </c>
      <c r="M9">
        <f t="shared" si="2"/>
        <v>1202.0615999999998</v>
      </c>
    </row>
    <row r="10" spans="1:14" x14ac:dyDescent="0.25">
      <c r="A10" s="9" t="s">
        <v>8</v>
      </c>
      <c r="B10" s="10">
        <v>800</v>
      </c>
      <c r="C10" s="10">
        <v>600</v>
      </c>
      <c r="D10" s="10">
        <v>600</v>
      </c>
      <c r="E10" s="10">
        <v>500</v>
      </c>
      <c r="F10">
        <v>500</v>
      </c>
      <c r="G10">
        <v>500</v>
      </c>
      <c r="H10">
        <v>500</v>
      </c>
      <c r="I10">
        <v>500</v>
      </c>
      <c r="J10">
        <v>500</v>
      </c>
      <c r="K10">
        <v>500</v>
      </c>
      <c r="L10">
        <v>500</v>
      </c>
      <c r="M10">
        <v>500</v>
      </c>
    </row>
    <row r="11" spans="1:14" x14ac:dyDescent="0.25">
      <c r="A11" s="11" t="s">
        <v>9</v>
      </c>
      <c r="B11" s="12">
        <v>15500000</v>
      </c>
      <c r="C11" s="12">
        <f>C9*C10</f>
        <v>2910163.5</v>
      </c>
      <c r="D11" s="12">
        <f>D9*D10</f>
        <v>23322758.400000002</v>
      </c>
      <c r="E11" s="12">
        <f>E9*E10</f>
        <v>7524283.8599999994</v>
      </c>
      <c r="F11">
        <f>F9*F10</f>
        <v>814500.36</v>
      </c>
      <c r="G11">
        <f t="shared" ref="G11:M11" si="3">G9*G10</f>
        <v>814500.36</v>
      </c>
      <c r="H11">
        <f t="shared" si="3"/>
        <v>1221750.54</v>
      </c>
      <c r="I11">
        <f t="shared" si="3"/>
        <v>1221750.54</v>
      </c>
      <c r="J11">
        <f t="shared" si="3"/>
        <v>1629000.72</v>
      </c>
      <c r="K11">
        <f t="shared" si="3"/>
        <v>814500.36</v>
      </c>
      <c r="L11">
        <f t="shared" si="3"/>
        <v>407250.18</v>
      </c>
      <c r="M11">
        <f t="shared" si="3"/>
        <v>601030.79999999993</v>
      </c>
    </row>
    <row r="12" spans="1:14" x14ac:dyDescent="0.25">
      <c r="A12" s="13" t="s">
        <v>10</v>
      </c>
      <c r="B12" s="14">
        <f>B11*1.2</f>
        <v>18600000</v>
      </c>
      <c r="C12" s="14">
        <f>C11*1.2</f>
        <v>3492196.1999999997</v>
      </c>
      <c r="D12" s="14">
        <f>D11*1.2</f>
        <v>27987310.080000002</v>
      </c>
      <c r="E12" s="14">
        <f>E11*1.2</f>
        <v>9029140.6319999993</v>
      </c>
      <c r="F12" s="64">
        <f>F11*1.2</f>
        <v>977400.43199999991</v>
      </c>
      <c r="G12" s="64">
        <f t="shared" ref="G12:M12" si="4">G11*1.2</f>
        <v>977400.43199999991</v>
      </c>
      <c r="H12" s="64">
        <f t="shared" si="4"/>
        <v>1466100.648</v>
      </c>
      <c r="I12" s="64">
        <f t="shared" si="4"/>
        <v>1466100.648</v>
      </c>
      <c r="J12" s="64">
        <f t="shared" si="4"/>
        <v>1954800.8639999998</v>
      </c>
      <c r="K12" s="64">
        <f t="shared" si="4"/>
        <v>977400.43199999991</v>
      </c>
      <c r="L12" s="64">
        <f t="shared" si="4"/>
        <v>488700.21599999996</v>
      </c>
      <c r="M12" s="64">
        <f t="shared" si="4"/>
        <v>721236.95999999985</v>
      </c>
    </row>
    <row r="13" spans="1:14" x14ac:dyDescent="0.25">
      <c r="A13" s="4"/>
      <c r="B13" s="6"/>
      <c r="C13" s="6"/>
      <c r="D13" s="6"/>
      <c r="E13" s="6"/>
      <c r="K13" s="15"/>
    </row>
    <row r="14" spans="1:14" x14ac:dyDescent="0.25">
      <c r="A14" s="4" t="s">
        <v>11</v>
      </c>
      <c r="B14" s="6"/>
      <c r="C14" s="6"/>
      <c r="D14" s="6"/>
      <c r="E14" s="6"/>
      <c r="K14" s="15"/>
    </row>
    <row r="15" spans="1:14" x14ac:dyDescent="0.25">
      <c r="A15" s="4" t="s">
        <v>12</v>
      </c>
      <c r="B15" s="6"/>
      <c r="C15" s="6">
        <f t="shared" ref="C15:D16" si="5">$H15*C$12</f>
        <v>244453.734</v>
      </c>
      <c r="D15" s="6">
        <f t="shared" si="5"/>
        <v>1959111.7056000002</v>
      </c>
      <c r="E15" s="6"/>
      <c r="H15" s="63">
        <v>7.0000000000000007E-2</v>
      </c>
      <c r="K15" s="15"/>
    </row>
    <row r="16" spans="1:14" x14ac:dyDescent="0.25">
      <c r="A16" s="4" t="s">
        <v>176</v>
      </c>
      <c r="B16" s="6"/>
      <c r="C16" s="6">
        <f t="shared" si="5"/>
        <v>139687.848</v>
      </c>
      <c r="D16" s="6">
        <f t="shared" si="5"/>
        <v>1119492.4032000001</v>
      </c>
      <c r="E16" s="6">
        <f>E12*$H$16</f>
        <v>361165.62527999998</v>
      </c>
      <c r="F16" s="64"/>
      <c r="H16" s="63">
        <v>0.04</v>
      </c>
      <c r="K16" s="15"/>
    </row>
    <row r="17" spans="1:11" x14ac:dyDescent="0.25">
      <c r="A17" s="4" t="s">
        <v>174</v>
      </c>
      <c r="B17" s="6"/>
      <c r="C17" s="6"/>
      <c r="D17" s="6"/>
      <c r="E17" s="6"/>
      <c r="H17" s="63">
        <v>0.05</v>
      </c>
      <c r="K17" s="15"/>
    </row>
    <row r="18" spans="1:11" x14ac:dyDescent="0.25">
      <c r="A18" s="4" t="s">
        <v>175</v>
      </c>
      <c r="B18" s="6"/>
      <c r="C18" s="6"/>
      <c r="D18" s="6"/>
      <c r="E18" s="6"/>
      <c r="H18" s="63"/>
      <c r="K18" s="15"/>
    </row>
    <row r="19" spans="1:11" x14ac:dyDescent="0.25">
      <c r="A19" s="4" t="s">
        <v>177</v>
      </c>
      <c r="B19" s="6"/>
      <c r="C19" s="6">
        <v>150000</v>
      </c>
      <c r="D19" s="6">
        <v>1000000</v>
      </c>
      <c r="E19" s="6">
        <v>300000</v>
      </c>
      <c r="F19" s="67">
        <f>C19/C23</f>
        <v>3.5491720666258858E-2</v>
      </c>
      <c r="G19" s="67">
        <f>D19/D23</f>
        <v>2.9943782773743328E-2</v>
      </c>
      <c r="H19" s="69">
        <f>E19/E23</f>
        <v>2.9731506655992394E-2</v>
      </c>
      <c r="K19" s="15"/>
    </row>
    <row r="20" spans="1:11" x14ac:dyDescent="0.25">
      <c r="A20" s="4" t="s">
        <v>188</v>
      </c>
      <c r="B20" s="6"/>
      <c r="C20" s="6">
        <v>50000</v>
      </c>
      <c r="D20" s="6">
        <v>330000</v>
      </c>
      <c r="E20" s="6">
        <v>100000</v>
      </c>
      <c r="F20" s="67">
        <f>C20/C23</f>
        <v>1.1830573555419619E-2</v>
      </c>
      <c r="G20" s="67">
        <f>D20/D23</f>
        <v>9.8814483153352988E-3</v>
      </c>
      <c r="H20" s="69">
        <f>E20/E23</f>
        <v>9.9105022186641318E-3</v>
      </c>
      <c r="K20" s="15"/>
    </row>
    <row r="21" spans="1:11" x14ac:dyDescent="0.25">
      <c r="A21" s="4" t="s">
        <v>187</v>
      </c>
      <c r="B21" s="6">
        <f>B12*0.05</f>
        <v>930000</v>
      </c>
      <c r="C21" s="6">
        <v>150000</v>
      </c>
      <c r="D21" s="6">
        <v>1000000</v>
      </c>
      <c r="E21" s="6">
        <v>300000</v>
      </c>
      <c r="F21" s="67">
        <f>C21/C23</f>
        <v>3.5491720666258858E-2</v>
      </c>
      <c r="G21" s="67">
        <f>D21/D23</f>
        <v>2.9943782773743328E-2</v>
      </c>
      <c r="H21" s="69">
        <f>E21/E23</f>
        <v>2.9731506655992394E-2</v>
      </c>
    </row>
    <row r="23" spans="1:11" ht="21" x14ac:dyDescent="0.35">
      <c r="A23" s="16" t="s">
        <v>14</v>
      </c>
      <c r="B23" s="17">
        <f>SUM(B12:B21)</f>
        <v>19530000</v>
      </c>
      <c r="C23" s="17">
        <f>SUM(C12:C21)</f>
        <v>4226337.7819999997</v>
      </c>
      <c r="D23" s="17">
        <f>SUM(D12:D21)</f>
        <v>33395914.188800003</v>
      </c>
      <c r="E23" s="17">
        <f>ROUND(SUM(E12:E21),0)</f>
        <v>10090306</v>
      </c>
      <c r="G23" s="47"/>
    </row>
    <row r="24" spans="1:11" x14ac:dyDescent="0.25">
      <c r="B24" s="18"/>
      <c r="C24" s="18"/>
      <c r="D24" s="18"/>
      <c r="E24" s="18"/>
    </row>
    <row r="25" spans="1:11" x14ac:dyDescent="0.25">
      <c r="B25" s="18"/>
      <c r="C25" s="18"/>
      <c r="D25" s="18"/>
      <c r="E25" s="18"/>
    </row>
    <row r="26" spans="1:11" x14ac:dyDescent="0.25">
      <c r="A26" s="2" t="s">
        <v>15</v>
      </c>
      <c r="B26" s="2" t="s">
        <v>16</v>
      </c>
      <c r="C26" s="2" t="s">
        <v>16</v>
      </c>
      <c r="D26" s="2" t="s">
        <v>16</v>
      </c>
      <c r="E26" s="2" t="s">
        <v>16</v>
      </c>
    </row>
    <row r="27" spans="1:11" x14ac:dyDescent="0.25">
      <c r="A27" t="s">
        <v>17</v>
      </c>
      <c r="B27" s="19">
        <f>ROUND(B12*30%,2)</f>
        <v>5580000</v>
      </c>
      <c r="C27" s="19">
        <f>ROUND(C12*30%,2)</f>
        <v>1047658.86</v>
      </c>
      <c r="D27" s="19">
        <f>ROUND(D12*30%,2)</f>
        <v>8396193.0199999996</v>
      </c>
      <c r="E27" s="19">
        <f>ROUND(E12*30%,2)</f>
        <v>2708742.19</v>
      </c>
    </row>
    <row r="28" spans="1:11" x14ac:dyDescent="0.25">
      <c r="A28" t="s">
        <v>18</v>
      </c>
      <c r="B28" s="19">
        <f>ROUND(B12*40%,2)</f>
        <v>7440000</v>
      </c>
      <c r="C28" s="19">
        <f>ROUND(C12*40%,2)</f>
        <v>1396878.48</v>
      </c>
      <c r="D28" s="19">
        <f>ROUND(D12*40%,2)</f>
        <v>11194924.029999999</v>
      </c>
      <c r="E28" s="19">
        <f>ROUND(E12*40%,2)</f>
        <v>3611656.25</v>
      </c>
    </row>
    <row r="29" spans="1:11" x14ac:dyDescent="0.25">
      <c r="A29" t="s">
        <v>19</v>
      </c>
      <c r="B29" s="19">
        <f>ROUND(B12*20%,2)</f>
        <v>3720000</v>
      </c>
      <c r="C29" s="19">
        <f>ROUND(C12*20%,2)</f>
        <v>698439.24</v>
      </c>
      <c r="D29" s="19">
        <f>ROUND(D12*20%,2)</f>
        <v>5597462.0199999996</v>
      </c>
      <c r="E29" s="19">
        <f>ROUND(E12*20%,2)</f>
        <v>1805828.13</v>
      </c>
    </row>
    <row r="30" spans="1:11" x14ac:dyDescent="0.25">
      <c r="A30" t="s">
        <v>20</v>
      </c>
      <c r="B30" s="19">
        <f>ROUND(B12*10%,2)</f>
        <v>1860000</v>
      </c>
      <c r="C30" s="19">
        <f>ROUND(C12*10%,2)</f>
        <v>349219.62</v>
      </c>
      <c r="D30" s="19">
        <f>ROUND(D12*10%,2)</f>
        <v>2798731.01</v>
      </c>
      <c r="E30" s="19">
        <f>ROUND(E12*10%,2)</f>
        <v>902914.06</v>
      </c>
    </row>
    <row r="31" spans="1:11" x14ac:dyDescent="0.25">
      <c r="A31" t="s">
        <v>21</v>
      </c>
      <c r="B31" s="19"/>
      <c r="C31" s="19"/>
      <c r="D31" s="19"/>
      <c r="E31" s="19"/>
    </row>
    <row r="32" spans="1:11" x14ac:dyDescent="0.25">
      <c r="A32" t="s">
        <v>22</v>
      </c>
      <c r="B32" s="19"/>
      <c r="C32" s="19"/>
      <c r="D32" s="19"/>
      <c r="E32" s="19"/>
    </row>
    <row r="33" spans="1:7" x14ac:dyDescent="0.25">
      <c r="A33" t="s">
        <v>13</v>
      </c>
      <c r="B33" s="19">
        <f>B12*0.05</f>
        <v>930000</v>
      </c>
      <c r="C33" s="19">
        <f>C12*0.05</f>
        <v>174609.81</v>
      </c>
      <c r="D33" s="19">
        <f>D12*0.05</f>
        <v>1399365.5040000002</v>
      </c>
      <c r="E33" s="19">
        <f>E12*0.07</f>
        <v>632039.84424000001</v>
      </c>
    </row>
    <row r="34" spans="1:7" x14ac:dyDescent="0.25">
      <c r="A34" s="20" t="s">
        <v>23</v>
      </c>
      <c r="B34" s="21">
        <f>SUM(B27:B33)</f>
        <v>19530000</v>
      </c>
      <c r="C34" s="21">
        <f>SUM(C27:C33)</f>
        <v>3666806.0100000002</v>
      </c>
      <c r="D34" s="21">
        <f>SUM(D27:D33)</f>
        <v>29386675.583999999</v>
      </c>
      <c r="E34" s="21">
        <f>SUM(E27:E33)</f>
        <v>9661180.4742399994</v>
      </c>
    </row>
    <row r="36" spans="1:7" x14ac:dyDescent="0.25">
      <c r="A36" s="68" t="s">
        <v>24</v>
      </c>
      <c r="B36" s="19">
        <f>SUM(B27:B30)*(SUM(UC!$F$10:$F$15)/UC!$F$87)</f>
        <v>1454502.3696682465</v>
      </c>
      <c r="C36" s="19">
        <f>SUM(C27:C30)*(SUM(UC!$F$10:$F$15)/UC!$F$87)</f>
        <v>273086.43270142184</v>
      </c>
      <c r="D36" s="19">
        <f>SUM(D27:D30)*(SUM(UC!$F$10:$F$15)/UC!$F$87)</f>
        <v>2188581.12</v>
      </c>
      <c r="E36" s="19">
        <f>SUM(E27:E30)*(SUM(UC!$F$10:$F$15)/UC!$F$87)</f>
        <v>706070.23883886251</v>
      </c>
      <c r="G36" s="65"/>
    </row>
    <row r="37" spans="1:7" x14ac:dyDescent="0.25">
      <c r="A37" s="68" t="s">
        <v>25</v>
      </c>
      <c r="B37" s="19">
        <f>SUM(B27:B30)*(SUM(UC!$F$3:$F$7)/UC!$F$87)</f>
        <v>595023.69668246445</v>
      </c>
      <c r="C37" s="19">
        <f>SUM(C27:C30)*(SUM(UC!$F$3:$F$7)/UC!$F$87)</f>
        <v>111717.177014218</v>
      </c>
      <c r="D37" s="19">
        <f>SUM(D27:D30)*(SUM(UC!$F$3:$F$7)/UC!$F$87)</f>
        <v>895328.6399999999</v>
      </c>
      <c r="E37" s="19">
        <f>SUM(E27:E30)*(SUM(UC!$F$3:$F$7)/UC!$F$87)</f>
        <v>288846.91588862555</v>
      </c>
    </row>
    <row r="38" spans="1:7" x14ac:dyDescent="0.25">
      <c r="A38" s="68" t="s">
        <v>26</v>
      </c>
      <c r="B38" s="19">
        <f>SUM(B27:B30)*(SUM(UC!$F$8:$F$9)/UC!$F$87)</f>
        <v>308530.80568720383</v>
      </c>
      <c r="C38" s="19">
        <f>SUM(C27:C30)*(SUM(UC!$F$8:$F$9)/UC!$F$87)</f>
        <v>57927.425118483421</v>
      </c>
      <c r="D38" s="19">
        <f>SUM(D27:D30)*(SUM(UC!$F$8:$F$9)/UC!$F$87)</f>
        <v>464244.47999999998</v>
      </c>
      <c r="E38" s="19">
        <f>SUM(E27:E30)*(SUM(UC!$F$8:$F$9)/UC!$F$87)</f>
        <v>149772.47490521325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Normal="100" workbookViewId="0">
      <selection activeCell="C10" sqref="C10"/>
    </sheetView>
  </sheetViews>
  <sheetFormatPr defaultRowHeight="15" x14ac:dyDescent="0.25"/>
  <cols>
    <col min="1" max="1" width="8.85546875" customWidth="1"/>
    <col min="2" max="2" width="51.5703125" customWidth="1"/>
    <col min="3" max="3" width="8.85546875" customWidth="1"/>
    <col min="4" max="4" width="13.7109375" bestFit="1" customWidth="1"/>
    <col min="5" max="5" width="9.85546875" bestFit="1" customWidth="1"/>
    <col min="6" max="6" width="9.85546875" customWidth="1"/>
    <col min="7" max="7" width="15" customWidth="1"/>
    <col min="8" max="8" width="9.85546875" customWidth="1"/>
    <col min="9" max="9" width="8.85546875" customWidth="1"/>
    <col min="10" max="10" width="13.7109375" bestFit="1" customWidth="1"/>
    <col min="11" max="1028" width="8.85546875" customWidth="1"/>
  </cols>
  <sheetData>
    <row r="1" spans="1:11" x14ac:dyDescent="0.25">
      <c r="C1" s="74" t="s">
        <v>160</v>
      </c>
      <c r="D1" s="74"/>
      <c r="E1" s="74"/>
      <c r="F1" s="74" t="s">
        <v>185</v>
      </c>
      <c r="G1" s="74"/>
      <c r="H1" s="74"/>
      <c r="I1" s="75" t="s">
        <v>161</v>
      </c>
      <c r="J1" s="74"/>
      <c r="K1" s="74"/>
    </row>
    <row r="2" spans="1:11" x14ac:dyDescent="0.25">
      <c r="A2" s="2" t="s">
        <v>27</v>
      </c>
      <c r="B2" s="3" t="s">
        <v>28</v>
      </c>
      <c r="C2" s="2" t="s">
        <v>29</v>
      </c>
      <c r="D2" s="3" t="s">
        <v>30</v>
      </c>
      <c r="E2" s="2" t="s">
        <v>31</v>
      </c>
      <c r="F2" s="2" t="s">
        <v>29</v>
      </c>
      <c r="G2" s="3" t="s">
        <v>30</v>
      </c>
      <c r="H2" s="2" t="s">
        <v>31</v>
      </c>
      <c r="I2" s="48" t="s">
        <v>29</v>
      </c>
      <c r="J2" s="3" t="s">
        <v>30</v>
      </c>
      <c r="K2" s="2" t="s">
        <v>31</v>
      </c>
    </row>
    <row r="3" spans="1:11" x14ac:dyDescent="0.25">
      <c r="A3" s="4" t="s">
        <v>32</v>
      </c>
      <c r="B3" s="22" t="s">
        <v>33</v>
      </c>
      <c r="C3" s="23">
        <v>2</v>
      </c>
      <c r="D3" s="23">
        <v>4</v>
      </c>
      <c r="E3" s="23">
        <f t="shared" ref="E3:E15" si="0">C3*D3</f>
        <v>8</v>
      </c>
      <c r="F3" s="49">
        <v>1.5</v>
      </c>
      <c r="G3" s="23">
        <v>4</v>
      </c>
      <c r="H3" s="23">
        <f t="shared" ref="H3:H15" si="1">F3*G3</f>
        <v>6</v>
      </c>
      <c r="I3" s="49">
        <v>1.5</v>
      </c>
      <c r="J3" s="23">
        <v>4</v>
      </c>
      <c r="K3" s="23">
        <f t="shared" ref="K3:K15" si="2">I3*J3</f>
        <v>6</v>
      </c>
    </row>
    <row r="4" spans="1:11" x14ac:dyDescent="0.25">
      <c r="A4" s="4" t="s">
        <v>34</v>
      </c>
      <c r="B4" s="22" t="s">
        <v>35</v>
      </c>
      <c r="C4" s="23">
        <v>1</v>
      </c>
      <c r="D4" s="23">
        <v>4</v>
      </c>
      <c r="E4" s="23">
        <f t="shared" si="0"/>
        <v>4</v>
      </c>
      <c r="F4" s="49">
        <v>1.5</v>
      </c>
      <c r="G4" s="23">
        <v>4</v>
      </c>
      <c r="H4" s="23">
        <f t="shared" si="1"/>
        <v>6</v>
      </c>
      <c r="I4" s="49">
        <v>1.5</v>
      </c>
      <c r="J4" s="23">
        <v>4</v>
      </c>
      <c r="K4" s="23">
        <f t="shared" si="2"/>
        <v>6</v>
      </c>
    </row>
    <row r="5" spans="1:11" x14ac:dyDescent="0.25">
      <c r="A5" s="4" t="s">
        <v>36</v>
      </c>
      <c r="B5" s="22" t="s">
        <v>37</v>
      </c>
      <c r="C5" s="23">
        <v>1</v>
      </c>
      <c r="D5" s="23">
        <v>4</v>
      </c>
      <c r="E5" s="23">
        <f t="shared" si="0"/>
        <v>4</v>
      </c>
      <c r="F5" s="49">
        <v>1.5</v>
      </c>
      <c r="G5" s="23">
        <v>4</v>
      </c>
      <c r="H5" s="23">
        <f t="shared" si="1"/>
        <v>6</v>
      </c>
      <c r="I5" s="49">
        <v>1.5</v>
      </c>
      <c r="J5" s="23">
        <v>4</v>
      </c>
      <c r="K5" s="23">
        <f t="shared" si="2"/>
        <v>6</v>
      </c>
    </row>
    <row r="6" spans="1:11" x14ac:dyDescent="0.25">
      <c r="A6" s="4" t="s">
        <v>38</v>
      </c>
      <c r="B6" s="22" t="s">
        <v>39</v>
      </c>
      <c r="C6" s="23">
        <v>1</v>
      </c>
      <c r="D6" s="23">
        <v>4</v>
      </c>
      <c r="E6" s="23">
        <f t="shared" si="0"/>
        <v>4</v>
      </c>
      <c r="F6" s="49">
        <v>1</v>
      </c>
      <c r="G6" s="23">
        <v>4</v>
      </c>
      <c r="H6" s="23">
        <f t="shared" si="1"/>
        <v>4</v>
      </c>
      <c r="I6" s="49">
        <v>1</v>
      </c>
      <c r="J6" s="23">
        <v>4</v>
      </c>
      <c r="K6" s="23">
        <f t="shared" si="2"/>
        <v>4</v>
      </c>
    </row>
    <row r="7" spans="1:11" x14ac:dyDescent="0.25">
      <c r="A7" s="4" t="s">
        <v>40</v>
      </c>
      <c r="B7" s="22" t="s">
        <v>41</v>
      </c>
      <c r="C7" s="23">
        <v>1</v>
      </c>
      <c r="D7" s="23">
        <v>2</v>
      </c>
      <c r="E7" s="23">
        <f t="shared" si="0"/>
        <v>2</v>
      </c>
      <c r="F7" s="49">
        <v>1</v>
      </c>
      <c r="G7" s="23">
        <v>2</v>
      </c>
      <c r="H7" s="23">
        <f t="shared" si="1"/>
        <v>2</v>
      </c>
      <c r="I7" s="49">
        <v>1</v>
      </c>
      <c r="J7" s="23">
        <v>2</v>
      </c>
      <c r="K7" s="23">
        <f t="shared" si="2"/>
        <v>2</v>
      </c>
    </row>
    <row r="8" spans="1:11" x14ac:dyDescent="0.25">
      <c r="A8" s="4" t="s">
        <v>42</v>
      </c>
      <c r="B8" s="22" t="s">
        <v>43</v>
      </c>
      <c r="C8" s="23">
        <v>0.5</v>
      </c>
      <c r="D8" s="23">
        <v>3</v>
      </c>
      <c r="E8" s="23">
        <f t="shared" si="0"/>
        <v>1.5</v>
      </c>
      <c r="F8" s="49">
        <v>0.5</v>
      </c>
      <c r="G8" s="23">
        <v>3</v>
      </c>
      <c r="H8" s="23">
        <f t="shared" si="1"/>
        <v>1.5</v>
      </c>
      <c r="I8" s="49">
        <v>0.5</v>
      </c>
      <c r="J8" s="23">
        <v>3</v>
      </c>
      <c r="K8" s="23">
        <f t="shared" si="2"/>
        <v>1.5</v>
      </c>
    </row>
    <row r="9" spans="1:11" x14ac:dyDescent="0.25">
      <c r="A9" s="4" t="s">
        <v>44</v>
      </c>
      <c r="B9" s="22" t="s">
        <v>45</v>
      </c>
      <c r="C9" s="23">
        <v>0.5</v>
      </c>
      <c r="D9" s="23">
        <v>3</v>
      </c>
      <c r="E9" s="23">
        <f t="shared" si="0"/>
        <v>1.5</v>
      </c>
      <c r="F9" s="49">
        <v>1</v>
      </c>
      <c r="G9" s="23">
        <v>3</v>
      </c>
      <c r="H9" s="23">
        <f t="shared" si="1"/>
        <v>3</v>
      </c>
      <c r="I9" s="49">
        <v>1</v>
      </c>
      <c r="J9" s="23">
        <v>3</v>
      </c>
      <c r="K9" s="23">
        <f t="shared" si="2"/>
        <v>3</v>
      </c>
    </row>
    <row r="10" spans="1:11" x14ac:dyDescent="0.25">
      <c r="A10" s="4" t="s">
        <v>46</v>
      </c>
      <c r="B10" s="22" t="s">
        <v>47</v>
      </c>
      <c r="C10" s="23">
        <v>1</v>
      </c>
      <c r="D10" s="23">
        <v>1</v>
      </c>
      <c r="E10" s="23">
        <f t="shared" si="0"/>
        <v>1</v>
      </c>
      <c r="F10" s="49">
        <v>1.5</v>
      </c>
      <c r="G10" s="23">
        <v>1</v>
      </c>
      <c r="H10" s="23">
        <f t="shared" si="1"/>
        <v>1.5</v>
      </c>
      <c r="I10" s="49">
        <v>1.5</v>
      </c>
      <c r="J10" s="23">
        <v>1</v>
      </c>
      <c r="K10" s="23">
        <f t="shared" si="2"/>
        <v>1.5</v>
      </c>
    </row>
    <row r="11" spans="1:11" x14ac:dyDescent="0.25">
      <c r="A11" s="4" t="s">
        <v>48</v>
      </c>
      <c r="B11" s="22" t="s">
        <v>49</v>
      </c>
      <c r="C11" s="23">
        <v>1</v>
      </c>
      <c r="D11" s="23">
        <v>4</v>
      </c>
      <c r="E11" s="23">
        <f t="shared" si="0"/>
        <v>4</v>
      </c>
      <c r="F11" s="49">
        <v>1</v>
      </c>
      <c r="G11" s="23">
        <v>4</v>
      </c>
      <c r="H11" s="23">
        <f t="shared" si="1"/>
        <v>4</v>
      </c>
      <c r="I11" s="49">
        <v>1</v>
      </c>
      <c r="J11" s="23">
        <v>4</v>
      </c>
      <c r="K11" s="23">
        <f t="shared" si="2"/>
        <v>4</v>
      </c>
    </row>
    <row r="12" spans="1:11" x14ac:dyDescent="0.25">
      <c r="A12" s="4" t="s">
        <v>50</v>
      </c>
      <c r="B12" s="22" t="s">
        <v>51</v>
      </c>
      <c r="C12" s="23">
        <v>1</v>
      </c>
      <c r="D12" s="23">
        <v>4</v>
      </c>
      <c r="E12" s="23">
        <f t="shared" si="0"/>
        <v>4</v>
      </c>
      <c r="F12" s="49">
        <v>1</v>
      </c>
      <c r="G12" s="23">
        <v>4</v>
      </c>
      <c r="H12" s="23">
        <f t="shared" si="1"/>
        <v>4</v>
      </c>
      <c r="I12" s="49">
        <v>1</v>
      </c>
      <c r="J12" s="23">
        <v>4</v>
      </c>
      <c r="K12" s="23">
        <f t="shared" si="2"/>
        <v>4</v>
      </c>
    </row>
    <row r="13" spans="1:11" x14ac:dyDescent="0.25">
      <c r="A13" s="4" t="s">
        <v>52</v>
      </c>
      <c r="B13" s="22" t="s">
        <v>53</v>
      </c>
      <c r="C13" s="23">
        <v>1</v>
      </c>
      <c r="D13" s="23">
        <v>4</v>
      </c>
      <c r="E13" s="23">
        <f t="shared" si="0"/>
        <v>4</v>
      </c>
      <c r="F13" s="49">
        <v>1</v>
      </c>
      <c r="G13" s="23">
        <v>4</v>
      </c>
      <c r="H13" s="23">
        <f t="shared" si="1"/>
        <v>4</v>
      </c>
      <c r="I13" s="49">
        <v>1</v>
      </c>
      <c r="J13" s="23">
        <v>4</v>
      </c>
      <c r="K13" s="23">
        <f t="shared" si="2"/>
        <v>4</v>
      </c>
    </row>
    <row r="14" spans="1:11" x14ac:dyDescent="0.25">
      <c r="A14" s="4" t="s">
        <v>54</v>
      </c>
      <c r="B14" s="22" t="s">
        <v>55</v>
      </c>
      <c r="C14" s="23">
        <v>1</v>
      </c>
      <c r="D14" s="23">
        <v>4</v>
      </c>
      <c r="E14" s="23">
        <f t="shared" si="0"/>
        <v>4</v>
      </c>
      <c r="F14" s="49">
        <v>2</v>
      </c>
      <c r="G14" s="23">
        <v>4</v>
      </c>
      <c r="H14" s="23">
        <f t="shared" si="1"/>
        <v>8</v>
      </c>
      <c r="I14" s="49">
        <v>2</v>
      </c>
      <c r="J14" s="23">
        <v>4</v>
      </c>
      <c r="K14" s="23">
        <f t="shared" si="2"/>
        <v>8</v>
      </c>
    </row>
    <row r="15" spans="1:11" x14ac:dyDescent="0.25">
      <c r="A15" s="4" t="s">
        <v>56</v>
      </c>
      <c r="B15" s="22" t="s">
        <v>57</v>
      </c>
      <c r="C15" s="23">
        <v>1</v>
      </c>
      <c r="D15" s="23">
        <v>4</v>
      </c>
      <c r="E15" s="23">
        <f t="shared" si="0"/>
        <v>4</v>
      </c>
      <c r="F15" s="49">
        <v>1</v>
      </c>
      <c r="G15" s="23">
        <v>4</v>
      </c>
      <c r="H15" s="23">
        <f t="shared" si="1"/>
        <v>4</v>
      </c>
      <c r="I15" s="49">
        <v>1</v>
      </c>
      <c r="J15" s="23">
        <v>4</v>
      </c>
      <c r="K15" s="23">
        <f t="shared" si="2"/>
        <v>4</v>
      </c>
    </row>
    <row r="16" spans="1:11" x14ac:dyDescent="0.25">
      <c r="A16" s="13"/>
      <c r="B16" s="24" t="s">
        <v>58</v>
      </c>
      <c r="C16" s="25"/>
      <c r="D16" s="25"/>
      <c r="E16" s="25">
        <f>SUM(E3:E15)</f>
        <v>46</v>
      </c>
      <c r="F16" s="25"/>
      <c r="G16" s="25"/>
      <c r="H16" s="25">
        <f>SUM(H3:H15)</f>
        <v>54</v>
      </c>
      <c r="I16" s="50"/>
      <c r="J16" s="25"/>
      <c r="K16" s="25">
        <f>SUM(K3:K15)</f>
        <v>54</v>
      </c>
    </row>
    <row r="17" spans="1:11" x14ac:dyDescent="0.25">
      <c r="I17" s="51"/>
    </row>
    <row r="18" spans="1:11" x14ac:dyDescent="0.25">
      <c r="A18" s="26"/>
      <c r="B18" s="27" t="s">
        <v>1</v>
      </c>
      <c r="C18" s="28"/>
      <c r="D18" s="28"/>
      <c r="E18" s="28">
        <f>0.6 + (0.01*E16)</f>
        <v>1.06</v>
      </c>
      <c r="F18" s="28"/>
      <c r="G18" s="28"/>
      <c r="H18" s="28">
        <f>0.6 + (0.01*H16)</f>
        <v>1.1400000000000001</v>
      </c>
      <c r="I18" s="52"/>
      <c r="J18" s="28"/>
      <c r="K18" s="28">
        <f>0.6 + (0.01*K16)</f>
        <v>1.1400000000000001</v>
      </c>
    </row>
  </sheetData>
  <mergeCells count="3">
    <mergeCell ref="C1:E1"/>
    <mergeCell ref="I1:K1"/>
    <mergeCell ref="F1:H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selection activeCell="E13" sqref="E13"/>
    </sheetView>
  </sheetViews>
  <sheetFormatPr defaultRowHeight="15" x14ac:dyDescent="0.25"/>
  <cols>
    <col min="1" max="1" width="8.85546875" customWidth="1"/>
    <col min="2" max="2" width="33.140625" customWidth="1"/>
    <col min="3" max="3" width="6" bestFit="1" customWidth="1"/>
    <col min="4" max="4" width="13.7109375" bestFit="1" customWidth="1"/>
    <col min="5" max="5" width="9.85546875" bestFit="1" customWidth="1"/>
    <col min="6" max="8" width="9.85546875" customWidth="1"/>
    <col min="9" max="9" width="6" bestFit="1" customWidth="1"/>
    <col min="10" max="10" width="13.7109375" bestFit="1" customWidth="1"/>
    <col min="11" max="11" width="9.85546875" bestFit="1" customWidth="1"/>
    <col min="12" max="1028" width="8.85546875" customWidth="1"/>
  </cols>
  <sheetData>
    <row r="1" spans="1:11" x14ac:dyDescent="0.25">
      <c r="C1" s="74" t="s">
        <v>160</v>
      </c>
      <c r="D1" s="74"/>
      <c r="E1" s="74"/>
      <c r="F1" s="74" t="s">
        <v>185</v>
      </c>
      <c r="G1" s="74"/>
      <c r="H1" s="74"/>
      <c r="I1" s="75" t="s">
        <v>161</v>
      </c>
      <c r="J1" s="74"/>
      <c r="K1" s="74"/>
    </row>
    <row r="2" spans="1:11" x14ac:dyDescent="0.25">
      <c r="A2" s="2" t="s">
        <v>27</v>
      </c>
      <c r="B2" s="3" t="s">
        <v>28</v>
      </c>
      <c r="C2" s="2" t="s">
        <v>29</v>
      </c>
      <c r="D2" s="2" t="s">
        <v>30</v>
      </c>
      <c r="E2" s="2" t="s">
        <v>31</v>
      </c>
      <c r="F2" s="2" t="s">
        <v>29</v>
      </c>
      <c r="G2" s="2" t="s">
        <v>30</v>
      </c>
      <c r="H2" s="2" t="s">
        <v>31</v>
      </c>
      <c r="I2" s="48" t="s">
        <v>29</v>
      </c>
      <c r="J2" s="2" t="s">
        <v>30</v>
      </c>
      <c r="K2" s="2" t="s">
        <v>31</v>
      </c>
    </row>
    <row r="3" spans="1:11" x14ac:dyDescent="0.25">
      <c r="A3" s="4" t="s">
        <v>59</v>
      </c>
      <c r="B3" s="22" t="s">
        <v>60</v>
      </c>
      <c r="C3" s="23">
        <v>1</v>
      </c>
      <c r="D3" s="23">
        <v>3</v>
      </c>
      <c r="E3" s="23">
        <f t="shared" ref="E3:E10" si="0">C3*D3</f>
        <v>3</v>
      </c>
      <c r="F3" s="49">
        <v>1</v>
      </c>
      <c r="G3" s="23">
        <v>3</v>
      </c>
      <c r="H3" s="23">
        <f t="shared" ref="H3:H10" si="1">F3*G3</f>
        <v>3</v>
      </c>
      <c r="I3" s="49">
        <v>1</v>
      </c>
      <c r="J3" s="23">
        <v>3</v>
      </c>
      <c r="K3" s="23">
        <f t="shared" ref="K3:K10" si="2">I3*J3</f>
        <v>3</v>
      </c>
    </row>
    <row r="4" spans="1:11" x14ac:dyDescent="0.25">
      <c r="A4" s="4" t="s">
        <v>61</v>
      </c>
      <c r="B4" s="22" t="s">
        <v>62</v>
      </c>
      <c r="C4" s="23">
        <v>1</v>
      </c>
      <c r="D4" s="23">
        <v>4</v>
      </c>
      <c r="E4" s="23">
        <f t="shared" si="0"/>
        <v>4</v>
      </c>
      <c r="F4" s="49">
        <v>1</v>
      </c>
      <c r="G4" s="23">
        <v>4</v>
      </c>
      <c r="H4" s="23">
        <f t="shared" si="1"/>
        <v>4</v>
      </c>
      <c r="I4" s="49">
        <v>1</v>
      </c>
      <c r="J4" s="23">
        <v>4</v>
      </c>
      <c r="K4" s="23">
        <f t="shared" si="2"/>
        <v>4</v>
      </c>
    </row>
    <row r="5" spans="1:11" ht="22.5" x14ac:dyDescent="0.25">
      <c r="A5" s="4" t="s">
        <v>63</v>
      </c>
      <c r="B5" s="22" t="s">
        <v>64</v>
      </c>
      <c r="C5" s="23">
        <v>1</v>
      </c>
      <c r="D5" s="23">
        <v>4</v>
      </c>
      <c r="E5" s="23">
        <f t="shared" si="0"/>
        <v>4</v>
      </c>
      <c r="F5" s="49">
        <v>1</v>
      </c>
      <c r="G5" s="23">
        <v>4</v>
      </c>
      <c r="H5" s="23">
        <f t="shared" si="1"/>
        <v>4</v>
      </c>
      <c r="I5" s="49">
        <v>1</v>
      </c>
      <c r="J5" s="23">
        <v>4</v>
      </c>
      <c r="K5" s="23">
        <f t="shared" si="2"/>
        <v>4</v>
      </c>
    </row>
    <row r="6" spans="1:11" x14ac:dyDescent="0.25">
      <c r="A6" s="4" t="s">
        <v>65</v>
      </c>
      <c r="B6" s="22" t="s">
        <v>66</v>
      </c>
      <c r="C6" s="23">
        <v>0.5</v>
      </c>
      <c r="D6" s="23">
        <v>4</v>
      </c>
      <c r="E6" s="23">
        <f t="shared" si="0"/>
        <v>2</v>
      </c>
      <c r="F6" s="49">
        <v>0.5</v>
      </c>
      <c r="G6" s="23">
        <v>4</v>
      </c>
      <c r="H6" s="23">
        <f t="shared" si="1"/>
        <v>2</v>
      </c>
      <c r="I6" s="49">
        <v>0.5</v>
      </c>
      <c r="J6" s="23">
        <v>4</v>
      </c>
      <c r="K6" s="23">
        <f t="shared" si="2"/>
        <v>2</v>
      </c>
    </row>
    <row r="7" spans="1:11" x14ac:dyDescent="0.25">
      <c r="A7" s="4" t="s">
        <v>67</v>
      </c>
      <c r="B7" s="22" t="s">
        <v>68</v>
      </c>
      <c r="C7" s="23">
        <v>1</v>
      </c>
      <c r="D7" s="23">
        <v>2</v>
      </c>
      <c r="E7" s="23">
        <f t="shared" si="0"/>
        <v>2</v>
      </c>
      <c r="F7" s="49">
        <v>0.5</v>
      </c>
      <c r="G7" s="23">
        <v>2</v>
      </c>
      <c r="H7" s="23">
        <f t="shared" si="1"/>
        <v>1</v>
      </c>
      <c r="I7" s="49">
        <v>0.5</v>
      </c>
      <c r="J7" s="23">
        <v>2</v>
      </c>
      <c r="K7" s="23">
        <f t="shared" si="2"/>
        <v>1</v>
      </c>
    </row>
    <row r="8" spans="1:11" x14ac:dyDescent="0.25">
      <c r="A8" s="4" t="s">
        <v>69</v>
      </c>
      <c r="B8" s="22" t="s">
        <v>70</v>
      </c>
      <c r="C8" s="23">
        <v>1.5</v>
      </c>
      <c r="D8" s="23">
        <v>3</v>
      </c>
      <c r="E8" s="23">
        <f t="shared" si="0"/>
        <v>4.5</v>
      </c>
      <c r="F8" s="49">
        <v>1</v>
      </c>
      <c r="G8" s="23">
        <v>3</v>
      </c>
      <c r="H8" s="23">
        <f t="shared" si="1"/>
        <v>3</v>
      </c>
      <c r="I8" s="49">
        <v>1</v>
      </c>
      <c r="J8" s="23">
        <v>3</v>
      </c>
      <c r="K8" s="23">
        <f t="shared" si="2"/>
        <v>3</v>
      </c>
    </row>
    <row r="9" spans="1:11" ht="22.5" x14ac:dyDescent="0.25">
      <c r="A9" s="4" t="s">
        <v>71</v>
      </c>
      <c r="B9" s="22" t="s">
        <v>72</v>
      </c>
      <c r="C9" s="23">
        <v>-1</v>
      </c>
      <c r="D9" s="23">
        <v>1</v>
      </c>
      <c r="E9" s="23">
        <f t="shared" si="0"/>
        <v>-1</v>
      </c>
      <c r="F9" s="49">
        <v>-1</v>
      </c>
      <c r="G9" s="23">
        <v>1</v>
      </c>
      <c r="H9" s="23">
        <f t="shared" si="1"/>
        <v>-1</v>
      </c>
      <c r="I9" s="49">
        <v>-1</v>
      </c>
      <c r="J9" s="23">
        <v>1</v>
      </c>
      <c r="K9" s="23">
        <f t="shared" si="2"/>
        <v>-1</v>
      </c>
    </row>
    <row r="10" spans="1:11" x14ac:dyDescent="0.25">
      <c r="A10" s="4" t="s">
        <v>73</v>
      </c>
      <c r="B10" s="22" t="s">
        <v>74</v>
      </c>
      <c r="C10" s="23">
        <v>-1</v>
      </c>
      <c r="D10" s="23">
        <v>3</v>
      </c>
      <c r="E10" s="23">
        <f t="shared" si="0"/>
        <v>-3</v>
      </c>
      <c r="F10" s="49">
        <v>-1</v>
      </c>
      <c r="G10" s="23">
        <v>3</v>
      </c>
      <c r="H10" s="23">
        <f t="shared" si="1"/>
        <v>-3</v>
      </c>
      <c r="I10" s="49">
        <v>-1</v>
      </c>
      <c r="J10" s="23">
        <v>3</v>
      </c>
      <c r="K10" s="23">
        <f t="shared" si="2"/>
        <v>-3</v>
      </c>
    </row>
    <row r="11" spans="1:11" x14ac:dyDescent="0.25">
      <c r="A11" s="13"/>
      <c r="B11" s="24" t="s">
        <v>58</v>
      </c>
      <c r="C11" s="25"/>
      <c r="D11" s="25"/>
      <c r="E11" s="25">
        <f>SUM(E3:E10)</f>
        <v>15.5</v>
      </c>
      <c r="F11" s="25"/>
      <c r="G11" s="25"/>
      <c r="H11" s="25">
        <f>SUM(H3:H10)</f>
        <v>13</v>
      </c>
      <c r="I11" s="50"/>
      <c r="J11" s="25"/>
      <c r="K11" s="25">
        <f>SUM(K3:K10)</f>
        <v>13</v>
      </c>
    </row>
    <row r="12" spans="1:11" x14ac:dyDescent="0.25">
      <c r="I12" s="51"/>
    </row>
    <row r="13" spans="1:11" x14ac:dyDescent="0.25">
      <c r="A13" s="26"/>
      <c r="B13" s="27" t="s">
        <v>2</v>
      </c>
      <c r="C13" s="28"/>
      <c r="D13" s="28"/>
      <c r="E13" s="28">
        <f>1.4+(-0.03*E11)</f>
        <v>0.93499999999999994</v>
      </c>
      <c r="F13" s="28"/>
      <c r="G13" s="28"/>
      <c r="H13" s="28">
        <f>1.4+(-0.03*H11)</f>
        <v>1.0099999999999998</v>
      </c>
      <c r="I13" s="52"/>
      <c r="J13" s="28"/>
      <c r="K13" s="28">
        <f>1.4+(-0.03*K11)</f>
        <v>1.0099999999999998</v>
      </c>
    </row>
  </sheetData>
  <mergeCells count="3">
    <mergeCell ref="C1:E1"/>
    <mergeCell ref="I1:K1"/>
    <mergeCell ref="F1:H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A3" zoomScaleNormal="100" workbookViewId="0">
      <selection activeCell="E16" sqref="E16"/>
    </sheetView>
  </sheetViews>
  <sheetFormatPr defaultRowHeight="15" x14ac:dyDescent="0.25"/>
  <cols>
    <col min="1" max="1" width="15.140625" customWidth="1"/>
    <col min="2" max="2" width="52.140625" customWidth="1"/>
    <col min="3" max="11" width="11.85546875" customWidth="1"/>
    <col min="12" max="1028" width="8.85546875" customWidth="1"/>
  </cols>
  <sheetData>
    <row r="1" spans="1:11" ht="28.15" customHeight="1" x14ac:dyDescent="0.25">
      <c r="C1" s="74" t="s">
        <v>182</v>
      </c>
      <c r="D1" s="74"/>
      <c r="E1" s="74"/>
      <c r="F1" s="74" t="s">
        <v>183</v>
      </c>
      <c r="G1" s="74"/>
      <c r="H1" s="76"/>
      <c r="I1" s="75" t="s">
        <v>162</v>
      </c>
      <c r="J1" s="74"/>
      <c r="K1" s="74"/>
    </row>
    <row r="2" spans="1:11" x14ac:dyDescent="0.25">
      <c r="A2" s="2" t="s">
        <v>75</v>
      </c>
      <c r="B2" s="3" t="s">
        <v>76</v>
      </c>
      <c r="C2" s="2" t="s">
        <v>29</v>
      </c>
      <c r="D2" s="2" t="s">
        <v>77</v>
      </c>
      <c r="E2" s="2" t="s">
        <v>31</v>
      </c>
      <c r="F2" s="2" t="s">
        <v>29</v>
      </c>
      <c r="G2" s="2" t="s">
        <v>77</v>
      </c>
      <c r="H2" s="2" t="s">
        <v>31</v>
      </c>
      <c r="I2" s="48" t="s">
        <v>29</v>
      </c>
      <c r="J2" s="2" t="s">
        <v>77</v>
      </c>
      <c r="K2" s="2" t="s">
        <v>31</v>
      </c>
    </row>
    <row r="3" spans="1:11" ht="46.5" customHeight="1" x14ac:dyDescent="0.25">
      <c r="A3" s="4" t="s">
        <v>78</v>
      </c>
      <c r="B3" s="22" t="s">
        <v>79</v>
      </c>
      <c r="C3" s="23">
        <v>5</v>
      </c>
      <c r="D3" s="23">
        <f>SUMIF(UC!D3:D86,5,UC!E3:E86)</f>
        <v>360</v>
      </c>
      <c r="E3" s="29">
        <f>C3*D3</f>
        <v>1800</v>
      </c>
      <c r="F3" s="23">
        <v>5</v>
      </c>
      <c r="G3" s="29">
        <f>SUMIFS(UC!$E$3:$E$86,UC!$C$3:$C$86,"A",UC!$D$3:$D$86,C3)</f>
        <v>46</v>
      </c>
      <c r="H3" s="29">
        <f>G3*F3</f>
        <v>230</v>
      </c>
      <c r="I3" s="49">
        <v>5</v>
      </c>
      <c r="J3" s="23">
        <f>D3/5*8</f>
        <v>576</v>
      </c>
      <c r="K3" s="29">
        <f>I3*J3</f>
        <v>2880</v>
      </c>
    </row>
    <row r="4" spans="1:11" ht="33.75" x14ac:dyDescent="0.25">
      <c r="A4" s="4" t="s">
        <v>80</v>
      </c>
      <c r="B4" s="22" t="s">
        <v>81</v>
      </c>
      <c r="C4" s="23">
        <v>10</v>
      </c>
      <c r="D4" s="23">
        <f>SUMIF(UC!D3:D86,10,UC!E3:E86)</f>
        <v>155</v>
      </c>
      <c r="E4" s="29">
        <f>C4*D4</f>
        <v>1550</v>
      </c>
      <c r="F4" s="23">
        <v>10</v>
      </c>
      <c r="G4" s="29">
        <f>SUMIFS(UC!$E$3:$E$86,UC!$C$3:$C$86,"A",UC!$D$3:$D$86,C4)</f>
        <v>32</v>
      </c>
      <c r="H4" s="29">
        <f>G4*F4</f>
        <v>320</v>
      </c>
      <c r="I4" s="49">
        <v>10</v>
      </c>
      <c r="J4" s="23">
        <f t="shared" ref="J4:J5" si="0">D4/5*8</f>
        <v>248</v>
      </c>
      <c r="K4" s="29">
        <f>I4*J4</f>
        <v>2480</v>
      </c>
    </row>
    <row r="5" spans="1:11" ht="33.75" x14ac:dyDescent="0.25">
      <c r="A5" s="4" t="s">
        <v>82</v>
      </c>
      <c r="B5" s="22" t="s">
        <v>83</v>
      </c>
      <c r="C5" s="23">
        <v>15</v>
      </c>
      <c r="D5" s="23">
        <f>SUMIF(UC!D3:D86,15,UC!E3:E86)</f>
        <v>58</v>
      </c>
      <c r="E5" s="29">
        <f>C5*D5</f>
        <v>870</v>
      </c>
      <c r="F5" s="23">
        <v>15</v>
      </c>
      <c r="G5" s="29">
        <f>SUMIFS(UC!$E$3:$E$86,UC!$C$3:$C$86,"A",UC!$D$3:$D$86,C5)</f>
        <v>45</v>
      </c>
      <c r="H5" s="29">
        <f>G5*F5</f>
        <v>675</v>
      </c>
      <c r="I5" s="49">
        <v>15</v>
      </c>
      <c r="J5" s="23">
        <f t="shared" si="0"/>
        <v>92.8</v>
      </c>
      <c r="K5" s="29">
        <f>I5*J5</f>
        <v>1392</v>
      </c>
    </row>
    <row r="6" spans="1:11" x14ac:dyDescent="0.25">
      <c r="A6" s="4" t="s">
        <v>165</v>
      </c>
      <c r="B6" s="22" t="s">
        <v>166</v>
      </c>
      <c r="C6" s="23">
        <v>10</v>
      </c>
      <c r="D6" s="23">
        <v>0</v>
      </c>
      <c r="E6" s="29">
        <f>C6*D6</f>
        <v>0</v>
      </c>
      <c r="F6" s="23">
        <v>10</v>
      </c>
      <c r="G6" s="29">
        <v>0</v>
      </c>
      <c r="H6" s="29">
        <f>G6*F6</f>
        <v>0</v>
      </c>
      <c r="I6" s="49">
        <v>10</v>
      </c>
      <c r="J6" s="23">
        <f>D5/5*4</f>
        <v>46.4</v>
      </c>
      <c r="K6" s="29">
        <f>I6*J6</f>
        <v>464</v>
      </c>
    </row>
    <row r="7" spans="1:11" x14ac:dyDescent="0.25">
      <c r="A7" s="13"/>
      <c r="B7" s="24" t="s">
        <v>84</v>
      </c>
      <c r="C7" s="25"/>
      <c r="D7" s="25"/>
      <c r="E7" s="30">
        <f>SUM(E3:E5)</f>
        <v>4220</v>
      </c>
      <c r="F7" s="30"/>
      <c r="G7" s="30"/>
      <c r="H7" s="30">
        <f>SUM(H3:H5)</f>
        <v>1225</v>
      </c>
      <c r="I7" s="50"/>
      <c r="J7" s="25"/>
      <c r="K7" s="30">
        <f>SUM(K3:K5)</f>
        <v>6752</v>
      </c>
    </row>
    <row r="8" spans="1:11" x14ac:dyDescent="0.25">
      <c r="I8" s="51"/>
    </row>
    <row r="9" spans="1:11" x14ac:dyDescent="0.25">
      <c r="I9" s="51"/>
    </row>
    <row r="10" spans="1:11" ht="33.75" x14ac:dyDescent="0.25">
      <c r="A10" s="2" t="s">
        <v>85</v>
      </c>
      <c r="B10" s="3" t="s">
        <v>76</v>
      </c>
      <c r="C10" s="2" t="s">
        <v>29</v>
      </c>
      <c r="D10" s="3" t="s">
        <v>86</v>
      </c>
      <c r="E10" s="31" t="s">
        <v>31</v>
      </c>
      <c r="F10" s="2" t="s">
        <v>29</v>
      </c>
      <c r="G10" s="3" t="s">
        <v>86</v>
      </c>
      <c r="H10" s="31" t="s">
        <v>31</v>
      </c>
      <c r="I10" s="48" t="s">
        <v>29</v>
      </c>
      <c r="J10" s="3" t="s">
        <v>86</v>
      </c>
      <c r="K10" s="31" t="s">
        <v>31</v>
      </c>
    </row>
    <row r="11" spans="1:11" ht="27.75" customHeight="1" x14ac:dyDescent="0.25">
      <c r="A11" s="4" t="s">
        <v>87</v>
      </c>
      <c r="B11" s="22" t="s">
        <v>88</v>
      </c>
      <c r="C11" s="23">
        <v>1</v>
      </c>
      <c r="D11" s="23">
        <f>UC!F94</f>
        <v>20</v>
      </c>
      <c r="E11" s="32">
        <f>C11*D11</f>
        <v>20</v>
      </c>
      <c r="F11" s="23">
        <v>1</v>
      </c>
      <c r="G11" s="23">
        <f>UC!I94</f>
        <v>40</v>
      </c>
      <c r="H11" s="32">
        <f>G11*F11</f>
        <v>40</v>
      </c>
      <c r="I11" s="49">
        <v>1</v>
      </c>
      <c r="J11" s="23">
        <f>UC!L94</f>
        <v>40</v>
      </c>
      <c r="K11" s="32">
        <f>I11*J11</f>
        <v>40</v>
      </c>
    </row>
    <row r="12" spans="1:11" ht="42.75" customHeight="1" x14ac:dyDescent="0.25">
      <c r="A12" s="4" t="s">
        <v>89</v>
      </c>
      <c r="B12" s="22" t="s">
        <v>90</v>
      </c>
      <c r="C12" s="23">
        <v>2</v>
      </c>
      <c r="D12" s="23">
        <v>0</v>
      </c>
      <c r="E12" s="32">
        <f>C12*D12</f>
        <v>0</v>
      </c>
      <c r="F12" s="23">
        <v>2</v>
      </c>
      <c r="G12" s="23">
        <v>0</v>
      </c>
      <c r="H12" s="32">
        <f>G12*F12</f>
        <v>0</v>
      </c>
      <c r="I12" s="49">
        <v>2</v>
      </c>
      <c r="J12" s="23">
        <f t="shared" ref="J12" si="1">D12/5*8</f>
        <v>0</v>
      </c>
      <c r="K12" s="32">
        <f>I12*J12</f>
        <v>0</v>
      </c>
    </row>
    <row r="13" spans="1:11" ht="39.75" customHeight="1" x14ac:dyDescent="0.25">
      <c r="A13" s="4" t="s">
        <v>91</v>
      </c>
      <c r="B13" s="22" t="s">
        <v>92</v>
      </c>
      <c r="C13" s="23">
        <v>3</v>
      </c>
      <c r="D13" s="23">
        <f>UC!F91+UC!F92+UC!F93+UC!F95</f>
        <v>100</v>
      </c>
      <c r="E13" s="32">
        <f>C13*D13</f>
        <v>300</v>
      </c>
      <c r="F13" s="23">
        <v>3</v>
      </c>
      <c r="G13" s="23">
        <f>UC!I91+UC!I92+UC!I93+UC!I95</f>
        <v>140</v>
      </c>
      <c r="H13" s="32">
        <f>G13*F13</f>
        <v>420</v>
      </c>
      <c r="I13" s="49">
        <v>3</v>
      </c>
      <c r="J13" s="23">
        <f>UC!L91+UC!L92+UC!L93+UC!L95</f>
        <v>140</v>
      </c>
      <c r="K13" s="32">
        <f>I13*J13</f>
        <v>420</v>
      </c>
    </row>
    <row r="14" spans="1:11" x14ac:dyDescent="0.25">
      <c r="A14" s="13"/>
      <c r="B14" s="24" t="s">
        <v>93</v>
      </c>
      <c r="C14" s="13"/>
      <c r="D14" s="33"/>
      <c r="E14" s="33">
        <f>SUM(E11:E13)</f>
        <v>320</v>
      </c>
      <c r="F14" s="33"/>
      <c r="G14" s="33"/>
      <c r="H14" s="33">
        <f>SUM(H11:H13)</f>
        <v>460</v>
      </c>
      <c r="I14" s="53"/>
      <c r="J14" s="33"/>
      <c r="K14" s="33">
        <f>SUM(K11:K13)</f>
        <v>460</v>
      </c>
    </row>
    <row r="15" spans="1:11" x14ac:dyDescent="0.25">
      <c r="I15" s="51"/>
    </row>
    <row r="16" spans="1:11" x14ac:dyDescent="0.25">
      <c r="A16" s="26"/>
      <c r="B16" s="27" t="s">
        <v>3</v>
      </c>
      <c r="C16" s="28"/>
      <c r="D16" s="28"/>
      <c r="E16" s="28">
        <f>E7 +E14</f>
        <v>4540</v>
      </c>
      <c r="F16" s="28"/>
      <c r="G16" s="28"/>
      <c r="H16" s="28">
        <f>H7 +H14</f>
        <v>1685</v>
      </c>
      <c r="I16" s="52"/>
      <c r="J16" s="28"/>
      <c r="K16" s="28">
        <f>K7 +K14</f>
        <v>7212</v>
      </c>
    </row>
  </sheetData>
  <mergeCells count="3">
    <mergeCell ref="C1:E1"/>
    <mergeCell ref="I1:K1"/>
    <mergeCell ref="F1:H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tabSelected="1" zoomScaleNormal="100" workbookViewId="0">
      <pane ySplit="2" topLeftCell="A3" activePane="bottomLeft" state="frozen"/>
      <selection pane="bottomLeft" activeCell="B2" sqref="B2"/>
    </sheetView>
  </sheetViews>
  <sheetFormatPr defaultRowHeight="15" x14ac:dyDescent="0.25"/>
  <cols>
    <col min="1" max="1" width="4.7109375" customWidth="1"/>
    <col min="2" max="2" width="48.28515625" customWidth="1"/>
    <col min="3" max="3" width="16.140625" bestFit="1" customWidth="1"/>
    <col min="4" max="4" width="17.7109375" customWidth="1"/>
    <col min="5" max="5" width="9.5703125" customWidth="1"/>
    <col min="6" max="6" width="11.42578125"/>
    <col min="7" max="7" width="14.28515625" customWidth="1"/>
    <col min="8" max="1024" width="8.85546875" customWidth="1"/>
    <col min="1025" max="1026" width="11.5703125"/>
  </cols>
  <sheetData>
    <row r="1" spans="1:7" x14ac:dyDescent="0.25">
      <c r="A1" s="77" t="s">
        <v>94</v>
      </c>
      <c r="B1" s="77"/>
      <c r="C1" s="77"/>
      <c r="D1" s="77"/>
      <c r="E1" s="77"/>
      <c r="F1" s="77"/>
      <c r="G1" s="77"/>
    </row>
    <row r="2" spans="1:7" ht="22.5" x14ac:dyDescent="0.25">
      <c r="A2" s="34" t="s">
        <v>95</v>
      </c>
      <c r="B2" s="35" t="s">
        <v>96</v>
      </c>
      <c r="C2" s="35" t="s">
        <v>180</v>
      </c>
      <c r="D2" s="1" t="s">
        <v>97</v>
      </c>
      <c r="E2" s="1" t="s">
        <v>98</v>
      </c>
      <c r="F2" s="1" t="s">
        <v>31</v>
      </c>
      <c r="G2" s="36" t="s">
        <v>99</v>
      </c>
    </row>
    <row r="3" spans="1:7" x14ac:dyDescent="0.25">
      <c r="A3" s="37"/>
      <c r="B3" s="38" t="s">
        <v>100</v>
      </c>
      <c r="C3" s="66" t="s">
        <v>181</v>
      </c>
      <c r="D3" s="39">
        <v>5</v>
      </c>
      <c r="E3" s="40">
        <v>1</v>
      </c>
      <c r="F3" s="41">
        <f t="shared" ref="F3:F34" si="0">D3*E3</f>
        <v>5</v>
      </c>
      <c r="G3" s="38" t="s">
        <v>101</v>
      </c>
    </row>
    <row r="4" spans="1:7" x14ac:dyDescent="0.25">
      <c r="A4" s="37"/>
      <c r="B4" s="38" t="s">
        <v>100</v>
      </c>
      <c r="C4" s="66" t="s">
        <v>181</v>
      </c>
      <c r="D4" s="39">
        <v>10</v>
      </c>
      <c r="E4" s="40">
        <v>2</v>
      </c>
      <c r="F4" s="41">
        <f t="shared" si="0"/>
        <v>20</v>
      </c>
      <c r="G4" s="38" t="s">
        <v>101</v>
      </c>
    </row>
    <row r="5" spans="1:7" x14ac:dyDescent="0.25">
      <c r="A5" s="37"/>
      <c r="B5" s="38" t="s">
        <v>100</v>
      </c>
      <c r="C5" s="66" t="s">
        <v>181</v>
      </c>
      <c r="D5" s="39">
        <v>15</v>
      </c>
      <c r="E5" s="40">
        <v>5</v>
      </c>
      <c r="F5" s="41">
        <f t="shared" si="0"/>
        <v>75</v>
      </c>
      <c r="G5" s="38" t="s">
        <v>101</v>
      </c>
    </row>
    <row r="6" spans="1:7" x14ac:dyDescent="0.25">
      <c r="A6" s="37"/>
      <c r="B6" s="38" t="s">
        <v>102</v>
      </c>
      <c r="C6" s="38"/>
      <c r="D6" s="39">
        <v>5</v>
      </c>
      <c r="E6" s="40">
        <v>1</v>
      </c>
      <c r="F6" s="41">
        <f t="shared" si="0"/>
        <v>5</v>
      </c>
      <c r="G6" s="38" t="s">
        <v>101</v>
      </c>
    </row>
    <row r="7" spans="1:7" x14ac:dyDescent="0.25">
      <c r="A7" s="37"/>
      <c r="B7" s="38" t="s">
        <v>102</v>
      </c>
      <c r="C7" s="38"/>
      <c r="D7" s="39">
        <v>10</v>
      </c>
      <c r="E7" s="40">
        <v>3</v>
      </c>
      <c r="F7" s="41">
        <f t="shared" si="0"/>
        <v>30</v>
      </c>
      <c r="G7" s="38" t="s">
        <v>101</v>
      </c>
    </row>
    <row r="8" spans="1:7" x14ac:dyDescent="0.25">
      <c r="A8" s="37"/>
      <c r="B8" s="38" t="s">
        <v>102</v>
      </c>
      <c r="C8" s="38"/>
      <c r="D8" s="39">
        <v>15</v>
      </c>
      <c r="E8" s="40">
        <v>1</v>
      </c>
      <c r="F8" s="41">
        <f t="shared" si="0"/>
        <v>15</v>
      </c>
      <c r="G8" s="38" t="s">
        <v>101</v>
      </c>
    </row>
    <row r="9" spans="1:7" x14ac:dyDescent="0.25">
      <c r="A9" s="37"/>
      <c r="B9" s="38" t="s">
        <v>103</v>
      </c>
      <c r="C9" s="38"/>
      <c r="D9" s="39">
        <v>5</v>
      </c>
      <c r="E9" s="40">
        <v>11</v>
      </c>
      <c r="F9" s="41">
        <f t="shared" si="0"/>
        <v>55</v>
      </c>
      <c r="G9" s="38" t="s">
        <v>101</v>
      </c>
    </row>
    <row r="10" spans="1:7" x14ac:dyDescent="0.25">
      <c r="A10" s="37"/>
      <c r="B10" s="38" t="s">
        <v>103</v>
      </c>
      <c r="C10" s="38"/>
      <c r="D10" s="39">
        <v>10</v>
      </c>
      <c r="E10" s="40">
        <v>2</v>
      </c>
      <c r="F10" s="41">
        <f t="shared" si="0"/>
        <v>20</v>
      </c>
      <c r="G10" s="38" t="s">
        <v>101</v>
      </c>
    </row>
    <row r="11" spans="1:7" x14ac:dyDescent="0.25">
      <c r="A11" s="37"/>
      <c r="B11" s="38" t="s">
        <v>103</v>
      </c>
      <c r="C11" s="38"/>
      <c r="D11" s="39">
        <v>15</v>
      </c>
      <c r="E11" s="40">
        <v>6</v>
      </c>
      <c r="F11" s="41">
        <f t="shared" si="0"/>
        <v>90</v>
      </c>
      <c r="G11" s="38" t="s">
        <v>101</v>
      </c>
    </row>
    <row r="12" spans="1:7" x14ac:dyDescent="0.25">
      <c r="A12" s="37"/>
      <c r="B12" s="38" t="s">
        <v>104</v>
      </c>
      <c r="C12" s="38"/>
      <c r="D12" s="39">
        <v>5</v>
      </c>
      <c r="E12" s="40">
        <v>10</v>
      </c>
      <c r="F12" s="41">
        <f t="shared" si="0"/>
        <v>50</v>
      </c>
      <c r="G12" s="38" t="s">
        <v>101</v>
      </c>
    </row>
    <row r="13" spans="1:7" x14ac:dyDescent="0.25">
      <c r="A13" s="37"/>
      <c r="B13" s="38" t="s">
        <v>105</v>
      </c>
      <c r="C13" s="66" t="s">
        <v>181</v>
      </c>
      <c r="D13" s="39">
        <v>15</v>
      </c>
      <c r="E13" s="40">
        <v>7</v>
      </c>
      <c r="F13" s="41">
        <f t="shared" si="0"/>
        <v>105</v>
      </c>
      <c r="G13" s="38" t="s">
        <v>102</v>
      </c>
    </row>
    <row r="14" spans="1:7" x14ac:dyDescent="0.25">
      <c r="A14" s="37"/>
      <c r="B14" s="38" t="s">
        <v>106</v>
      </c>
      <c r="C14" s="38"/>
      <c r="D14" s="39">
        <v>5</v>
      </c>
      <c r="E14" s="40">
        <v>2</v>
      </c>
      <c r="F14" s="41">
        <f t="shared" si="0"/>
        <v>10</v>
      </c>
      <c r="G14" s="38" t="s">
        <v>102</v>
      </c>
    </row>
    <row r="15" spans="1:7" x14ac:dyDescent="0.25">
      <c r="A15" s="37"/>
      <c r="B15" s="38" t="s">
        <v>107</v>
      </c>
      <c r="C15" s="38"/>
      <c r="D15" s="39">
        <v>5</v>
      </c>
      <c r="E15" s="40">
        <v>11</v>
      </c>
      <c r="F15" s="41">
        <f t="shared" si="0"/>
        <v>55</v>
      </c>
      <c r="G15" s="38" t="s">
        <v>107</v>
      </c>
    </row>
    <row r="16" spans="1:7" x14ac:dyDescent="0.25">
      <c r="A16" s="37"/>
      <c r="B16" s="38" t="s">
        <v>107</v>
      </c>
      <c r="C16" s="38"/>
      <c r="D16" s="39">
        <v>10</v>
      </c>
      <c r="E16" s="40">
        <v>13</v>
      </c>
      <c r="F16" s="41">
        <f t="shared" si="0"/>
        <v>130</v>
      </c>
      <c r="G16" s="38" t="s">
        <v>107</v>
      </c>
    </row>
    <row r="17" spans="1:8" x14ac:dyDescent="0.25">
      <c r="A17" s="37"/>
      <c r="B17" s="38" t="s">
        <v>107</v>
      </c>
      <c r="C17" s="38"/>
      <c r="D17" s="39">
        <v>15</v>
      </c>
      <c r="E17" s="40">
        <v>1</v>
      </c>
      <c r="F17" s="41">
        <f t="shared" si="0"/>
        <v>15</v>
      </c>
      <c r="G17" s="38" t="s">
        <v>107</v>
      </c>
    </row>
    <row r="18" spans="1:8" x14ac:dyDescent="0.25">
      <c r="A18" s="37"/>
      <c r="B18" s="38" t="s">
        <v>108</v>
      </c>
      <c r="C18" s="66" t="s">
        <v>181</v>
      </c>
      <c r="D18" s="39">
        <v>15</v>
      </c>
      <c r="E18" s="40">
        <v>10</v>
      </c>
      <c r="F18" s="41">
        <f t="shared" si="0"/>
        <v>150</v>
      </c>
      <c r="G18" s="38" t="s">
        <v>109</v>
      </c>
    </row>
    <row r="19" spans="1:8" x14ac:dyDescent="0.25">
      <c r="A19" s="37"/>
      <c r="B19" s="38" t="s">
        <v>110</v>
      </c>
      <c r="C19" s="38"/>
      <c r="D19" s="39">
        <v>5</v>
      </c>
      <c r="E19" s="40">
        <v>5</v>
      </c>
      <c r="F19" s="41">
        <f t="shared" si="0"/>
        <v>25</v>
      </c>
      <c r="G19" s="38" t="s">
        <v>109</v>
      </c>
    </row>
    <row r="20" spans="1:8" x14ac:dyDescent="0.25">
      <c r="A20" s="37"/>
      <c r="B20" s="38" t="s">
        <v>110</v>
      </c>
      <c r="C20" s="38"/>
      <c r="D20" s="39">
        <v>10</v>
      </c>
      <c r="E20" s="40">
        <v>4</v>
      </c>
      <c r="F20" s="41">
        <f t="shared" si="0"/>
        <v>40</v>
      </c>
      <c r="G20" s="38" t="s">
        <v>109</v>
      </c>
    </row>
    <row r="21" spans="1:8" x14ac:dyDescent="0.25">
      <c r="A21" s="42"/>
      <c r="B21" s="38" t="s">
        <v>111</v>
      </c>
      <c r="C21" s="66" t="s">
        <v>181</v>
      </c>
      <c r="D21" s="39">
        <v>5</v>
      </c>
      <c r="E21" s="40">
        <v>6</v>
      </c>
      <c r="F21" s="41">
        <f t="shared" si="0"/>
        <v>30</v>
      </c>
      <c r="G21" s="38" t="s">
        <v>109</v>
      </c>
    </row>
    <row r="22" spans="1:8" x14ac:dyDescent="0.25">
      <c r="A22" s="42"/>
      <c r="B22" s="38" t="s">
        <v>111</v>
      </c>
      <c r="C22" s="66" t="s">
        <v>181</v>
      </c>
      <c r="D22" s="39">
        <v>10</v>
      </c>
      <c r="E22" s="40">
        <v>1</v>
      </c>
      <c r="F22" s="41">
        <f t="shared" si="0"/>
        <v>10</v>
      </c>
      <c r="G22" s="38" t="s">
        <v>109</v>
      </c>
      <c r="H22" s="43"/>
    </row>
    <row r="23" spans="1:8" x14ac:dyDescent="0.25">
      <c r="A23" s="42"/>
      <c r="B23" s="38" t="s">
        <v>112</v>
      </c>
      <c r="C23" s="66" t="s">
        <v>181</v>
      </c>
      <c r="D23" s="39">
        <v>5</v>
      </c>
      <c r="E23" s="40">
        <v>12</v>
      </c>
      <c r="F23" s="41">
        <f t="shared" si="0"/>
        <v>60</v>
      </c>
      <c r="G23" s="38" t="s">
        <v>109</v>
      </c>
    </row>
    <row r="24" spans="1:8" x14ac:dyDescent="0.25">
      <c r="A24" s="42"/>
      <c r="B24" s="38" t="s">
        <v>112</v>
      </c>
      <c r="C24" s="66" t="s">
        <v>181</v>
      </c>
      <c r="D24" s="39">
        <v>10</v>
      </c>
      <c r="E24" s="40">
        <v>3</v>
      </c>
      <c r="F24" s="41">
        <f t="shared" si="0"/>
        <v>30</v>
      </c>
      <c r="G24" s="38" t="s">
        <v>109</v>
      </c>
    </row>
    <row r="25" spans="1:8" x14ac:dyDescent="0.25">
      <c r="A25" s="42"/>
      <c r="B25" s="38" t="s">
        <v>113</v>
      </c>
      <c r="C25" s="66" t="s">
        <v>181</v>
      </c>
      <c r="D25" s="39">
        <v>5</v>
      </c>
      <c r="E25" s="40">
        <v>8</v>
      </c>
      <c r="F25" s="41">
        <f t="shared" si="0"/>
        <v>40</v>
      </c>
      <c r="G25" s="38" t="s">
        <v>109</v>
      </c>
    </row>
    <row r="26" spans="1:8" x14ac:dyDescent="0.25">
      <c r="A26" s="42"/>
      <c r="B26" s="38" t="s">
        <v>113</v>
      </c>
      <c r="C26" s="66" t="s">
        <v>181</v>
      </c>
      <c r="D26" s="39">
        <v>10</v>
      </c>
      <c r="E26" s="40">
        <v>1</v>
      </c>
      <c r="F26" s="41">
        <f t="shared" si="0"/>
        <v>10</v>
      </c>
      <c r="G26" s="38" t="s">
        <v>109</v>
      </c>
    </row>
    <row r="27" spans="1:8" x14ac:dyDescent="0.25">
      <c r="A27" s="42"/>
      <c r="B27" s="38" t="s">
        <v>114</v>
      </c>
      <c r="C27" s="38"/>
      <c r="D27" s="39">
        <v>5</v>
      </c>
      <c r="E27" s="40">
        <v>10</v>
      </c>
      <c r="F27" s="41">
        <f t="shared" si="0"/>
        <v>50</v>
      </c>
      <c r="G27" s="38" t="s">
        <v>109</v>
      </c>
    </row>
    <row r="28" spans="1:8" x14ac:dyDescent="0.25">
      <c r="A28" s="42"/>
      <c r="B28" s="38" t="s">
        <v>114</v>
      </c>
      <c r="C28" s="38"/>
      <c r="D28" s="39">
        <v>10</v>
      </c>
      <c r="E28" s="40">
        <v>1</v>
      </c>
      <c r="F28" s="41">
        <f t="shared" si="0"/>
        <v>10</v>
      </c>
      <c r="G28" s="38" t="s">
        <v>109</v>
      </c>
    </row>
    <row r="29" spans="1:8" x14ac:dyDescent="0.25">
      <c r="A29" s="42"/>
      <c r="B29" s="38" t="s">
        <v>115</v>
      </c>
      <c r="C29" s="38"/>
      <c r="D29" s="39">
        <v>5</v>
      </c>
      <c r="E29" s="40">
        <v>11</v>
      </c>
      <c r="F29" s="41">
        <f t="shared" si="0"/>
        <v>55</v>
      </c>
      <c r="G29" s="38" t="s">
        <v>109</v>
      </c>
    </row>
    <row r="30" spans="1:8" x14ac:dyDescent="0.25">
      <c r="A30" s="42"/>
      <c r="B30" s="38" t="s">
        <v>115</v>
      </c>
      <c r="C30" s="38"/>
      <c r="D30" s="39">
        <v>10</v>
      </c>
      <c r="E30" s="40">
        <v>1</v>
      </c>
      <c r="F30" s="41">
        <f t="shared" si="0"/>
        <v>10</v>
      </c>
      <c r="G30" s="38" t="s">
        <v>109</v>
      </c>
    </row>
    <row r="31" spans="1:8" x14ac:dyDescent="0.25">
      <c r="A31" s="42"/>
      <c r="B31" s="38" t="s">
        <v>116</v>
      </c>
      <c r="C31" s="66" t="s">
        <v>181</v>
      </c>
      <c r="D31" s="39">
        <v>5</v>
      </c>
      <c r="E31" s="40">
        <v>5</v>
      </c>
      <c r="F31" s="41">
        <f t="shared" si="0"/>
        <v>25</v>
      </c>
      <c r="G31" s="38" t="s">
        <v>109</v>
      </c>
    </row>
    <row r="32" spans="1:8" x14ac:dyDescent="0.25">
      <c r="A32" s="42"/>
      <c r="B32" s="38" t="s">
        <v>116</v>
      </c>
      <c r="C32" s="66" t="s">
        <v>181</v>
      </c>
      <c r="D32" s="39">
        <v>10</v>
      </c>
      <c r="E32" s="40">
        <v>6</v>
      </c>
      <c r="F32" s="41">
        <f t="shared" si="0"/>
        <v>60</v>
      </c>
      <c r="G32" s="38" t="s">
        <v>109</v>
      </c>
    </row>
    <row r="33" spans="1:10" x14ac:dyDescent="0.25">
      <c r="A33" s="42"/>
      <c r="B33" s="38" t="s">
        <v>116</v>
      </c>
      <c r="C33" s="66" t="s">
        <v>181</v>
      </c>
      <c r="D33" s="39">
        <v>15</v>
      </c>
      <c r="E33" s="40">
        <v>1</v>
      </c>
      <c r="F33" s="41">
        <f t="shared" si="0"/>
        <v>15</v>
      </c>
      <c r="G33" s="38" t="s">
        <v>109</v>
      </c>
    </row>
    <row r="34" spans="1:10" x14ac:dyDescent="0.25">
      <c r="A34" s="42"/>
      <c r="B34" s="38" t="s">
        <v>117</v>
      </c>
      <c r="C34" s="38"/>
      <c r="D34" s="39">
        <v>5</v>
      </c>
      <c r="E34" s="40">
        <v>6</v>
      </c>
      <c r="F34" s="41">
        <f t="shared" si="0"/>
        <v>30</v>
      </c>
      <c r="G34" s="38" t="s">
        <v>109</v>
      </c>
    </row>
    <row r="35" spans="1:10" x14ac:dyDescent="0.25">
      <c r="A35" s="42"/>
      <c r="B35" s="38" t="s">
        <v>118</v>
      </c>
      <c r="C35" s="38"/>
      <c r="D35" s="39">
        <v>5</v>
      </c>
      <c r="E35" s="40">
        <v>4</v>
      </c>
      <c r="F35" s="41">
        <f t="shared" ref="F35:F66" si="1">D35*E35</f>
        <v>20</v>
      </c>
      <c r="G35" s="38" t="s">
        <v>109</v>
      </c>
    </row>
    <row r="36" spans="1:10" x14ac:dyDescent="0.25">
      <c r="A36" s="42"/>
      <c r="B36" s="38" t="s">
        <v>118</v>
      </c>
      <c r="C36" s="38"/>
      <c r="D36" s="39">
        <v>10</v>
      </c>
      <c r="E36" s="40">
        <v>1</v>
      </c>
      <c r="F36" s="41">
        <f t="shared" si="1"/>
        <v>10</v>
      </c>
      <c r="G36" s="38" t="s">
        <v>109</v>
      </c>
    </row>
    <row r="37" spans="1:10" x14ac:dyDescent="0.25">
      <c r="A37" s="42"/>
      <c r="B37" s="38" t="s">
        <v>119</v>
      </c>
      <c r="C37" s="38"/>
      <c r="D37" s="39">
        <v>5</v>
      </c>
      <c r="E37" s="40">
        <v>6</v>
      </c>
      <c r="F37" s="41">
        <f t="shared" si="1"/>
        <v>30</v>
      </c>
      <c r="G37" s="38" t="s">
        <v>109</v>
      </c>
    </row>
    <row r="38" spans="1:10" x14ac:dyDescent="0.25">
      <c r="A38" s="42"/>
      <c r="B38" s="38" t="s">
        <v>119</v>
      </c>
      <c r="C38" s="38"/>
      <c r="D38" s="39">
        <v>10</v>
      </c>
      <c r="E38" s="40">
        <v>2</v>
      </c>
      <c r="F38" s="41">
        <f t="shared" si="1"/>
        <v>20</v>
      </c>
      <c r="G38" s="38" t="s">
        <v>109</v>
      </c>
    </row>
    <row r="39" spans="1:10" x14ac:dyDescent="0.25">
      <c r="A39" s="42"/>
      <c r="B39" s="38" t="s">
        <v>120</v>
      </c>
      <c r="C39" s="38"/>
      <c r="D39" s="39">
        <v>5</v>
      </c>
      <c r="E39" s="40">
        <v>4</v>
      </c>
      <c r="F39" s="41">
        <f t="shared" si="1"/>
        <v>20</v>
      </c>
      <c r="G39" s="38" t="s">
        <v>109</v>
      </c>
    </row>
    <row r="40" spans="1:10" x14ac:dyDescent="0.25">
      <c r="A40" s="42"/>
      <c r="B40" s="38" t="s">
        <v>120</v>
      </c>
      <c r="C40" s="38"/>
      <c r="D40" s="39">
        <v>10</v>
      </c>
      <c r="E40" s="40">
        <v>3</v>
      </c>
      <c r="F40" s="41">
        <f t="shared" si="1"/>
        <v>30</v>
      </c>
      <c r="G40" s="38" t="s">
        <v>109</v>
      </c>
    </row>
    <row r="41" spans="1:10" x14ac:dyDescent="0.25">
      <c r="A41" s="42"/>
      <c r="B41" s="38" t="s">
        <v>121</v>
      </c>
      <c r="C41" s="38"/>
      <c r="D41" s="39">
        <v>5</v>
      </c>
      <c r="E41" s="40">
        <v>4</v>
      </c>
      <c r="F41" s="41">
        <f t="shared" si="1"/>
        <v>20</v>
      </c>
      <c r="G41" s="38" t="s">
        <v>109</v>
      </c>
    </row>
    <row r="42" spans="1:10" x14ac:dyDescent="0.25">
      <c r="A42" s="42"/>
      <c r="B42" s="38" t="s">
        <v>121</v>
      </c>
      <c r="C42" s="38"/>
      <c r="D42" s="39">
        <v>10</v>
      </c>
      <c r="E42" s="40">
        <v>3</v>
      </c>
      <c r="F42" s="41">
        <f t="shared" si="1"/>
        <v>30</v>
      </c>
      <c r="G42" s="38" t="s">
        <v>109</v>
      </c>
      <c r="H42" s="43"/>
    </row>
    <row r="43" spans="1:10" x14ac:dyDescent="0.25">
      <c r="A43" s="42"/>
      <c r="B43" s="38" t="s">
        <v>122</v>
      </c>
      <c r="C43" s="38"/>
      <c r="D43" s="39">
        <v>5</v>
      </c>
      <c r="E43" s="40">
        <v>6</v>
      </c>
      <c r="F43" s="41">
        <f t="shared" si="1"/>
        <v>30</v>
      </c>
      <c r="G43" s="38" t="s">
        <v>109</v>
      </c>
      <c r="H43" s="43"/>
    </row>
    <row r="44" spans="1:10" x14ac:dyDescent="0.25">
      <c r="A44" s="42"/>
      <c r="B44" s="38" t="s">
        <v>122</v>
      </c>
      <c r="C44" s="38"/>
      <c r="D44" s="39">
        <v>10</v>
      </c>
      <c r="E44" s="40">
        <v>2</v>
      </c>
      <c r="F44" s="41">
        <f t="shared" si="1"/>
        <v>20</v>
      </c>
      <c r="G44" s="38" t="s">
        <v>109</v>
      </c>
      <c r="H44" s="43"/>
    </row>
    <row r="45" spans="1:10" x14ac:dyDescent="0.25">
      <c r="A45" s="42"/>
      <c r="B45" s="38" t="s">
        <v>123</v>
      </c>
      <c r="C45" s="38"/>
      <c r="D45" s="39">
        <v>5</v>
      </c>
      <c r="E45" s="40">
        <v>5</v>
      </c>
      <c r="F45" s="41">
        <f t="shared" si="1"/>
        <v>25</v>
      </c>
      <c r="G45" s="38" t="s">
        <v>109</v>
      </c>
      <c r="H45" s="43"/>
      <c r="J45" s="43"/>
    </row>
    <row r="46" spans="1:10" x14ac:dyDescent="0.25">
      <c r="A46" s="42"/>
      <c r="B46" s="38" t="s">
        <v>123</v>
      </c>
      <c r="C46" s="38"/>
      <c r="D46" s="39">
        <v>10</v>
      </c>
      <c r="E46" s="40">
        <v>2</v>
      </c>
      <c r="F46" s="41">
        <f t="shared" si="1"/>
        <v>20</v>
      </c>
      <c r="G46" s="38" t="s">
        <v>109</v>
      </c>
      <c r="H46" s="43"/>
      <c r="J46" s="43"/>
    </row>
    <row r="47" spans="1:10" x14ac:dyDescent="0.25">
      <c r="A47" s="42"/>
      <c r="B47" s="38" t="s">
        <v>124</v>
      </c>
      <c r="C47" s="38"/>
      <c r="D47" s="39">
        <v>5</v>
      </c>
      <c r="E47" s="40">
        <v>5</v>
      </c>
      <c r="F47" s="41">
        <f t="shared" si="1"/>
        <v>25</v>
      </c>
      <c r="G47" s="38" t="s">
        <v>109</v>
      </c>
      <c r="H47" s="43"/>
      <c r="J47" s="43"/>
    </row>
    <row r="48" spans="1:10" x14ac:dyDescent="0.25">
      <c r="A48" s="42"/>
      <c r="B48" s="38" t="s">
        <v>125</v>
      </c>
      <c r="C48" s="38"/>
      <c r="D48" s="39">
        <v>5</v>
      </c>
      <c r="E48" s="40">
        <v>43</v>
      </c>
      <c r="F48" s="41">
        <f t="shared" si="1"/>
        <v>215</v>
      </c>
      <c r="G48" s="38" t="s">
        <v>126</v>
      </c>
      <c r="H48" s="43"/>
      <c r="J48" s="43"/>
    </row>
    <row r="49" spans="1:10" x14ac:dyDescent="0.25">
      <c r="A49" s="42"/>
      <c r="B49" s="38" t="s">
        <v>125</v>
      </c>
      <c r="C49" s="38"/>
      <c r="D49" s="39">
        <v>10</v>
      </c>
      <c r="E49" s="40">
        <v>9</v>
      </c>
      <c r="F49" s="41">
        <f t="shared" si="1"/>
        <v>90</v>
      </c>
      <c r="G49" s="38" t="s">
        <v>126</v>
      </c>
      <c r="H49" s="43"/>
      <c r="J49" s="43"/>
    </row>
    <row r="50" spans="1:10" x14ac:dyDescent="0.25">
      <c r="A50" s="42"/>
      <c r="B50" s="38" t="s">
        <v>127</v>
      </c>
      <c r="C50" s="38"/>
      <c r="D50" s="39">
        <v>5</v>
      </c>
      <c r="E50" s="40">
        <v>80</v>
      </c>
      <c r="F50" s="41">
        <f t="shared" si="1"/>
        <v>400</v>
      </c>
      <c r="G50" s="38" t="s">
        <v>126</v>
      </c>
      <c r="H50" s="43"/>
      <c r="J50" s="43"/>
    </row>
    <row r="51" spans="1:10" x14ac:dyDescent="0.25">
      <c r="A51" s="42"/>
      <c r="B51" s="38" t="s">
        <v>127</v>
      </c>
      <c r="C51" s="38"/>
      <c r="D51" s="39">
        <v>10</v>
      </c>
      <c r="E51" s="40">
        <v>15</v>
      </c>
      <c r="F51" s="41">
        <f t="shared" si="1"/>
        <v>150</v>
      </c>
      <c r="G51" s="38" t="s">
        <v>126</v>
      </c>
      <c r="H51" s="43"/>
      <c r="J51" s="43"/>
    </row>
    <row r="52" spans="1:10" x14ac:dyDescent="0.25">
      <c r="A52" s="42"/>
      <c r="B52" s="38" t="s">
        <v>128</v>
      </c>
      <c r="C52" s="66" t="s">
        <v>181</v>
      </c>
      <c r="D52" s="39">
        <v>15</v>
      </c>
      <c r="E52" s="40">
        <v>1</v>
      </c>
      <c r="F52" s="41">
        <f t="shared" si="1"/>
        <v>15</v>
      </c>
      <c r="G52" s="38" t="s">
        <v>129</v>
      </c>
      <c r="H52" s="43"/>
      <c r="J52" s="43"/>
    </row>
    <row r="53" spans="1:10" x14ac:dyDescent="0.25">
      <c r="A53" s="42"/>
      <c r="B53" s="38" t="s">
        <v>130</v>
      </c>
      <c r="C53" s="38"/>
      <c r="D53" s="39">
        <v>10</v>
      </c>
      <c r="E53" s="40">
        <v>5</v>
      </c>
      <c r="F53" s="41">
        <f t="shared" si="1"/>
        <v>50</v>
      </c>
      <c r="G53" s="38" t="s">
        <v>129</v>
      </c>
      <c r="H53" s="43"/>
      <c r="J53" s="43"/>
    </row>
    <row r="54" spans="1:10" x14ac:dyDescent="0.25">
      <c r="A54" s="42"/>
      <c r="B54" s="38" t="s">
        <v>131</v>
      </c>
      <c r="C54" s="38"/>
      <c r="D54" s="39">
        <v>10</v>
      </c>
      <c r="E54" s="40">
        <v>3</v>
      </c>
      <c r="F54" s="41">
        <f t="shared" si="1"/>
        <v>30</v>
      </c>
      <c r="G54" s="38" t="s">
        <v>129</v>
      </c>
      <c r="H54" s="43"/>
      <c r="J54" s="43"/>
    </row>
    <row r="55" spans="1:10" x14ac:dyDescent="0.25">
      <c r="A55" s="42"/>
      <c r="B55" s="38" t="s">
        <v>132</v>
      </c>
      <c r="C55" s="38"/>
      <c r="D55" s="39">
        <v>5</v>
      </c>
      <c r="E55" s="40">
        <v>4</v>
      </c>
      <c r="F55" s="41">
        <f t="shared" si="1"/>
        <v>20</v>
      </c>
      <c r="G55" s="38" t="s">
        <v>129</v>
      </c>
      <c r="H55" s="43"/>
      <c r="J55" s="43"/>
    </row>
    <row r="56" spans="1:10" x14ac:dyDescent="0.25">
      <c r="A56" s="42"/>
      <c r="B56" s="38" t="s">
        <v>132</v>
      </c>
      <c r="C56" s="38"/>
      <c r="D56" s="39">
        <v>10</v>
      </c>
      <c r="E56" s="40">
        <v>3</v>
      </c>
      <c r="F56" s="41">
        <f t="shared" si="1"/>
        <v>30</v>
      </c>
      <c r="G56" s="38" t="s">
        <v>129</v>
      </c>
      <c r="H56" s="43"/>
      <c r="J56" s="43"/>
    </row>
    <row r="57" spans="1:10" x14ac:dyDescent="0.25">
      <c r="A57" s="42"/>
      <c r="B57" s="38" t="s">
        <v>133</v>
      </c>
      <c r="C57" s="38"/>
      <c r="D57" s="39">
        <v>5</v>
      </c>
      <c r="E57" s="40">
        <v>3</v>
      </c>
      <c r="F57" s="41">
        <f t="shared" si="1"/>
        <v>15</v>
      </c>
      <c r="G57" s="38" t="s">
        <v>129</v>
      </c>
      <c r="H57" s="43"/>
      <c r="J57" s="43"/>
    </row>
    <row r="58" spans="1:10" x14ac:dyDescent="0.25">
      <c r="A58" s="42"/>
      <c r="B58" s="38" t="s">
        <v>134</v>
      </c>
      <c r="C58" s="66" t="s">
        <v>181</v>
      </c>
      <c r="D58" s="39">
        <v>5</v>
      </c>
      <c r="E58" s="40">
        <v>4</v>
      </c>
      <c r="F58" s="41">
        <f t="shared" si="1"/>
        <v>20</v>
      </c>
      <c r="G58" s="38" t="s">
        <v>129</v>
      </c>
      <c r="H58" s="43"/>
      <c r="J58" s="43"/>
    </row>
    <row r="59" spans="1:10" x14ac:dyDescent="0.25">
      <c r="A59" s="42"/>
      <c r="B59" s="38" t="s">
        <v>134</v>
      </c>
      <c r="C59" s="66" t="s">
        <v>181</v>
      </c>
      <c r="D59" s="39">
        <v>10</v>
      </c>
      <c r="E59" s="40">
        <v>6</v>
      </c>
      <c r="F59" s="41">
        <f t="shared" si="1"/>
        <v>60</v>
      </c>
      <c r="G59" s="38" t="s">
        <v>129</v>
      </c>
      <c r="H59" s="43"/>
      <c r="J59" s="43"/>
    </row>
    <row r="60" spans="1:10" x14ac:dyDescent="0.25">
      <c r="A60" s="42"/>
      <c r="B60" s="38" t="s">
        <v>134</v>
      </c>
      <c r="C60" s="66" t="s">
        <v>181</v>
      </c>
      <c r="D60" s="39">
        <v>15</v>
      </c>
      <c r="E60" s="40">
        <v>1</v>
      </c>
      <c r="F60" s="41">
        <f t="shared" si="1"/>
        <v>15</v>
      </c>
      <c r="G60" s="38" t="s">
        <v>129</v>
      </c>
      <c r="H60" s="43"/>
      <c r="J60" s="43"/>
    </row>
    <row r="61" spans="1:10" x14ac:dyDescent="0.25">
      <c r="A61" s="42"/>
      <c r="B61" s="38" t="s">
        <v>135</v>
      </c>
      <c r="C61" s="38"/>
      <c r="D61" s="39">
        <v>10</v>
      </c>
      <c r="E61" s="40">
        <v>4</v>
      </c>
      <c r="F61" s="41">
        <f t="shared" si="1"/>
        <v>40</v>
      </c>
      <c r="G61" s="38" t="s">
        <v>129</v>
      </c>
      <c r="H61" s="43"/>
      <c r="J61" s="43"/>
    </row>
    <row r="62" spans="1:10" x14ac:dyDescent="0.25">
      <c r="A62" s="42"/>
      <c r="B62" s="38" t="s">
        <v>136</v>
      </c>
      <c r="C62" s="38"/>
      <c r="D62" s="39">
        <v>5</v>
      </c>
      <c r="E62" s="40">
        <v>2</v>
      </c>
      <c r="F62" s="41">
        <f t="shared" si="1"/>
        <v>10</v>
      </c>
      <c r="G62" s="38" t="s">
        <v>129</v>
      </c>
      <c r="H62" s="43"/>
      <c r="J62" s="43"/>
    </row>
    <row r="63" spans="1:10" x14ac:dyDescent="0.25">
      <c r="A63" s="42"/>
      <c r="B63" s="38" t="s">
        <v>136</v>
      </c>
      <c r="C63" s="38"/>
      <c r="D63" s="39">
        <v>10</v>
      </c>
      <c r="E63" s="40">
        <v>3</v>
      </c>
      <c r="F63" s="41">
        <f t="shared" si="1"/>
        <v>30</v>
      </c>
      <c r="G63" s="38" t="s">
        <v>129</v>
      </c>
      <c r="H63" s="43"/>
      <c r="J63" s="43"/>
    </row>
    <row r="64" spans="1:10" x14ac:dyDescent="0.25">
      <c r="A64" s="42"/>
      <c r="B64" s="38" t="s">
        <v>136</v>
      </c>
      <c r="C64" s="38"/>
      <c r="D64" s="39">
        <v>15</v>
      </c>
      <c r="E64" s="40">
        <v>1</v>
      </c>
      <c r="F64" s="41">
        <f t="shared" si="1"/>
        <v>15</v>
      </c>
      <c r="G64" s="38" t="s">
        <v>129</v>
      </c>
      <c r="H64" s="43"/>
      <c r="J64" s="43"/>
    </row>
    <row r="65" spans="1:10" x14ac:dyDescent="0.25">
      <c r="A65" s="42"/>
      <c r="B65" s="38" t="s">
        <v>137</v>
      </c>
      <c r="C65" s="38"/>
      <c r="D65" s="39">
        <v>5</v>
      </c>
      <c r="E65" s="40">
        <v>5</v>
      </c>
      <c r="F65" s="41">
        <f t="shared" si="1"/>
        <v>25</v>
      </c>
      <c r="G65" s="38" t="s">
        <v>129</v>
      </c>
      <c r="H65" s="43"/>
      <c r="J65" s="43"/>
    </row>
    <row r="66" spans="1:10" x14ac:dyDescent="0.25">
      <c r="A66" s="42"/>
      <c r="B66" s="38" t="s">
        <v>138</v>
      </c>
      <c r="C66" s="66" t="s">
        <v>181</v>
      </c>
      <c r="D66" s="39">
        <v>5</v>
      </c>
      <c r="E66" s="40">
        <v>7</v>
      </c>
      <c r="F66" s="41">
        <f t="shared" si="1"/>
        <v>35</v>
      </c>
      <c r="G66" s="38" t="s">
        <v>129</v>
      </c>
      <c r="H66" s="43"/>
      <c r="J66" s="43"/>
    </row>
    <row r="67" spans="1:10" x14ac:dyDescent="0.25">
      <c r="A67" s="42"/>
      <c r="B67" s="38" t="s">
        <v>138</v>
      </c>
      <c r="C67" s="66" t="s">
        <v>181</v>
      </c>
      <c r="D67" s="39">
        <v>10</v>
      </c>
      <c r="E67" s="40">
        <v>1</v>
      </c>
      <c r="F67" s="41">
        <f t="shared" ref="F67:F86" si="2">D67*E67</f>
        <v>10</v>
      </c>
      <c r="G67" s="38" t="s">
        <v>129</v>
      </c>
      <c r="H67" s="43"/>
      <c r="J67" s="43"/>
    </row>
    <row r="68" spans="1:10" x14ac:dyDescent="0.25">
      <c r="A68" s="42"/>
      <c r="B68" s="38" t="s">
        <v>139</v>
      </c>
      <c r="C68" s="66" t="s">
        <v>181</v>
      </c>
      <c r="D68" s="39">
        <v>5</v>
      </c>
      <c r="E68" s="40">
        <v>1</v>
      </c>
      <c r="F68" s="41">
        <f t="shared" si="2"/>
        <v>5</v>
      </c>
      <c r="G68" s="38" t="s">
        <v>129</v>
      </c>
      <c r="H68" s="43"/>
      <c r="J68" s="43"/>
    </row>
    <row r="69" spans="1:10" x14ac:dyDescent="0.25">
      <c r="A69" s="42"/>
      <c r="B69" s="38" t="s">
        <v>139</v>
      </c>
      <c r="C69" s="66" t="s">
        <v>181</v>
      </c>
      <c r="D69" s="39">
        <v>10</v>
      </c>
      <c r="E69" s="40">
        <v>6</v>
      </c>
      <c r="F69" s="41">
        <f t="shared" si="2"/>
        <v>60</v>
      </c>
      <c r="G69" s="38" t="s">
        <v>129</v>
      </c>
      <c r="H69" s="43"/>
      <c r="J69" s="43"/>
    </row>
    <row r="70" spans="1:10" x14ac:dyDescent="0.25">
      <c r="A70" s="42"/>
      <c r="B70" s="38" t="s">
        <v>140</v>
      </c>
      <c r="C70" s="38"/>
      <c r="D70" s="39">
        <v>5</v>
      </c>
      <c r="E70" s="40">
        <v>4</v>
      </c>
      <c r="F70" s="41">
        <f t="shared" si="2"/>
        <v>20</v>
      </c>
      <c r="G70" s="38" t="s">
        <v>129</v>
      </c>
      <c r="H70" s="43"/>
      <c r="J70" s="43"/>
    </row>
    <row r="71" spans="1:10" x14ac:dyDescent="0.25">
      <c r="A71" s="42"/>
      <c r="B71" s="38" t="s">
        <v>140</v>
      </c>
      <c r="C71" s="38"/>
      <c r="D71" s="39">
        <v>10</v>
      </c>
      <c r="E71" s="40">
        <v>4</v>
      </c>
      <c r="F71" s="41">
        <f t="shared" si="2"/>
        <v>40</v>
      </c>
      <c r="G71" s="38" t="s">
        <v>129</v>
      </c>
      <c r="H71" s="43"/>
      <c r="J71" s="43"/>
    </row>
    <row r="72" spans="1:10" x14ac:dyDescent="0.25">
      <c r="A72" s="42"/>
      <c r="B72" s="38" t="s">
        <v>140</v>
      </c>
      <c r="C72" s="38"/>
      <c r="D72" s="39">
        <v>15</v>
      </c>
      <c r="E72" s="40">
        <v>4</v>
      </c>
      <c r="F72" s="41">
        <f t="shared" si="2"/>
        <v>60</v>
      </c>
      <c r="G72" s="38" t="s">
        <v>129</v>
      </c>
      <c r="H72" s="43"/>
      <c r="J72" s="43"/>
    </row>
    <row r="73" spans="1:10" x14ac:dyDescent="0.25">
      <c r="A73" s="42"/>
      <c r="B73" s="38" t="s">
        <v>141</v>
      </c>
      <c r="C73" s="38"/>
      <c r="D73" s="39">
        <v>5</v>
      </c>
      <c r="E73" s="40">
        <v>2</v>
      </c>
      <c r="F73" s="41">
        <f t="shared" si="2"/>
        <v>10</v>
      </c>
      <c r="G73" s="38" t="s">
        <v>129</v>
      </c>
      <c r="H73" s="43"/>
      <c r="J73" s="43"/>
    </row>
    <row r="74" spans="1:10" x14ac:dyDescent="0.25">
      <c r="A74" s="42"/>
      <c r="B74" s="38" t="s">
        <v>141</v>
      </c>
      <c r="C74" s="38"/>
      <c r="D74" s="39">
        <v>10</v>
      </c>
      <c r="E74" s="40">
        <v>9</v>
      </c>
      <c r="F74" s="41">
        <f t="shared" si="2"/>
        <v>90</v>
      </c>
      <c r="G74" s="38" t="s">
        <v>129</v>
      </c>
      <c r="H74" s="43"/>
      <c r="J74" s="43"/>
    </row>
    <row r="75" spans="1:10" x14ac:dyDescent="0.25">
      <c r="A75" s="42"/>
      <c r="B75" s="38" t="s">
        <v>142</v>
      </c>
      <c r="C75" s="38"/>
      <c r="D75" s="39">
        <v>5</v>
      </c>
      <c r="E75" s="40">
        <v>3</v>
      </c>
      <c r="F75" s="41">
        <f t="shared" si="2"/>
        <v>15</v>
      </c>
      <c r="G75" s="38" t="s">
        <v>129</v>
      </c>
      <c r="H75" s="43"/>
      <c r="J75" s="43"/>
    </row>
    <row r="76" spans="1:10" x14ac:dyDescent="0.25">
      <c r="A76" s="42"/>
      <c r="B76" s="38" t="s">
        <v>142</v>
      </c>
      <c r="C76" s="38"/>
      <c r="D76" s="39">
        <v>10</v>
      </c>
      <c r="E76" s="40">
        <v>6</v>
      </c>
      <c r="F76" s="41">
        <f t="shared" si="2"/>
        <v>60</v>
      </c>
      <c r="G76" s="38" t="s">
        <v>129</v>
      </c>
      <c r="H76" s="43"/>
      <c r="J76" s="43"/>
    </row>
    <row r="77" spans="1:10" x14ac:dyDescent="0.25">
      <c r="A77" s="42"/>
      <c r="B77" s="38" t="s">
        <v>143</v>
      </c>
      <c r="C77" s="66" t="s">
        <v>181</v>
      </c>
      <c r="D77" s="39">
        <v>10</v>
      </c>
      <c r="E77" s="40">
        <v>5</v>
      </c>
      <c r="F77" s="41">
        <f t="shared" si="2"/>
        <v>50</v>
      </c>
      <c r="G77" s="38" t="s">
        <v>144</v>
      </c>
      <c r="H77" s="43"/>
      <c r="J77" s="43"/>
    </row>
    <row r="78" spans="1:10" x14ac:dyDescent="0.25">
      <c r="A78" s="42"/>
      <c r="B78" s="38" t="s">
        <v>143</v>
      </c>
      <c r="C78" s="66" t="s">
        <v>181</v>
      </c>
      <c r="D78" s="39">
        <v>15</v>
      </c>
      <c r="E78" s="40">
        <v>6</v>
      </c>
      <c r="F78" s="41">
        <f t="shared" si="2"/>
        <v>90</v>
      </c>
      <c r="G78" s="38" t="s">
        <v>144</v>
      </c>
      <c r="H78" s="43"/>
      <c r="J78" s="43"/>
    </row>
    <row r="79" spans="1:10" x14ac:dyDescent="0.25">
      <c r="A79" s="42"/>
      <c r="B79" s="38" t="s">
        <v>145</v>
      </c>
      <c r="C79" s="38"/>
      <c r="D79" s="39">
        <v>5</v>
      </c>
      <c r="E79" s="40">
        <v>62</v>
      </c>
      <c r="F79" s="41">
        <f t="shared" si="2"/>
        <v>310</v>
      </c>
      <c r="G79" s="38" t="s">
        <v>144</v>
      </c>
      <c r="H79" s="43"/>
      <c r="J79" s="43"/>
    </row>
    <row r="80" spans="1:10" x14ac:dyDescent="0.25">
      <c r="A80" s="42"/>
      <c r="B80" s="38" t="s">
        <v>145</v>
      </c>
      <c r="C80" s="38"/>
      <c r="D80" s="39">
        <v>10</v>
      </c>
      <c r="E80" s="40">
        <v>15</v>
      </c>
      <c r="F80" s="41">
        <f t="shared" si="2"/>
        <v>150</v>
      </c>
      <c r="G80" s="38" t="s">
        <v>144</v>
      </c>
      <c r="H80" s="43"/>
      <c r="J80" s="43"/>
    </row>
    <row r="81" spans="1:13" x14ac:dyDescent="0.25">
      <c r="A81" s="42"/>
      <c r="B81" s="38" t="s">
        <v>146</v>
      </c>
      <c r="C81" s="66" t="s">
        <v>181</v>
      </c>
      <c r="D81" s="39">
        <v>5</v>
      </c>
      <c r="E81" s="40">
        <v>2</v>
      </c>
      <c r="F81" s="41">
        <f t="shared" si="2"/>
        <v>10</v>
      </c>
      <c r="G81" s="38" t="s">
        <v>147</v>
      </c>
      <c r="H81" s="43"/>
      <c r="J81" s="43"/>
    </row>
    <row r="82" spans="1:13" x14ac:dyDescent="0.25">
      <c r="A82" s="42"/>
      <c r="B82" s="38" t="s">
        <v>146</v>
      </c>
      <c r="C82" s="66" t="s">
        <v>181</v>
      </c>
      <c r="D82" s="39">
        <v>10</v>
      </c>
      <c r="E82" s="40">
        <v>1</v>
      </c>
      <c r="F82" s="41">
        <f t="shared" si="2"/>
        <v>10</v>
      </c>
      <c r="G82" s="38" t="s">
        <v>147</v>
      </c>
      <c r="H82" s="43"/>
      <c r="J82" s="43"/>
    </row>
    <row r="83" spans="1:13" x14ac:dyDescent="0.25">
      <c r="A83" s="42"/>
      <c r="B83" s="38" t="s">
        <v>146</v>
      </c>
      <c r="C83" s="66" t="s">
        <v>181</v>
      </c>
      <c r="D83" s="39">
        <v>15</v>
      </c>
      <c r="E83" s="40">
        <v>4</v>
      </c>
      <c r="F83" s="41">
        <f t="shared" si="2"/>
        <v>60</v>
      </c>
      <c r="G83" s="38" t="s">
        <v>147</v>
      </c>
      <c r="H83" s="43"/>
      <c r="J83" s="43"/>
    </row>
    <row r="84" spans="1:13" x14ac:dyDescent="0.25">
      <c r="A84" s="42"/>
      <c r="B84" s="38" t="s">
        <v>148</v>
      </c>
      <c r="C84" s="66" t="s">
        <v>181</v>
      </c>
      <c r="D84" s="39">
        <v>15</v>
      </c>
      <c r="E84" s="40">
        <v>10</v>
      </c>
      <c r="F84" s="41">
        <f t="shared" si="2"/>
        <v>150</v>
      </c>
      <c r="G84" s="38" t="s">
        <v>149</v>
      </c>
      <c r="H84" s="43"/>
      <c r="J84" s="43"/>
    </row>
    <row r="85" spans="1:13" x14ac:dyDescent="0.25">
      <c r="A85" s="42"/>
      <c r="B85" s="38" t="s">
        <v>150</v>
      </c>
      <c r="C85" s="38"/>
      <c r="D85" s="39">
        <v>5</v>
      </c>
      <c r="E85" s="40">
        <v>5</v>
      </c>
      <c r="F85" s="41">
        <f t="shared" si="2"/>
        <v>25</v>
      </c>
      <c r="G85" s="38" t="s">
        <v>149</v>
      </c>
      <c r="H85" s="43"/>
    </row>
    <row r="86" spans="1:13" x14ac:dyDescent="0.25">
      <c r="A86" s="42"/>
      <c r="B86" s="38" t="s">
        <v>150</v>
      </c>
      <c r="C86" s="38"/>
      <c r="D86" s="39">
        <v>10</v>
      </c>
      <c r="E86" s="40">
        <v>10</v>
      </c>
      <c r="F86" s="41">
        <f t="shared" si="2"/>
        <v>100</v>
      </c>
      <c r="G86" s="38" t="s">
        <v>149</v>
      </c>
      <c r="H86" s="43"/>
    </row>
    <row r="87" spans="1:13" x14ac:dyDescent="0.25">
      <c r="A87" s="44"/>
      <c r="B87" s="45"/>
      <c r="C87" s="45"/>
      <c r="D87" s="45"/>
      <c r="E87" s="46"/>
      <c r="F87" s="44">
        <f>SUM(F3:F86)</f>
        <v>4220</v>
      </c>
      <c r="G87" s="44"/>
      <c r="H87" s="43"/>
    </row>
    <row r="88" spans="1:13" x14ac:dyDescent="0.25">
      <c r="H88" s="43"/>
    </row>
    <row r="89" spans="1:13" x14ac:dyDescent="0.25">
      <c r="E89" s="78" t="s">
        <v>160</v>
      </c>
      <c r="F89" s="78"/>
      <c r="G89" s="79"/>
      <c r="H89" s="80" t="s">
        <v>184</v>
      </c>
      <c r="I89" s="78"/>
      <c r="J89" s="78"/>
      <c r="K89" s="80" t="s">
        <v>161</v>
      </c>
      <c r="L89" s="78"/>
      <c r="M89" s="78"/>
    </row>
    <row r="90" spans="1:13" x14ac:dyDescent="0.25">
      <c r="A90" s="2" t="s">
        <v>95</v>
      </c>
      <c r="B90" s="2"/>
      <c r="C90" s="2"/>
      <c r="D90" s="3" t="s">
        <v>85</v>
      </c>
      <c r="E90" s="57" t="s">
        <v>97</v>
      </c>
      <c r="F90" s="57" t="s">
        <v>98</v>
      </c>
      <c r="G90" s="58" t="s">
        <v>151</v>
      </c>
      <c r="H90" s="60" t="s">
        <v>97</v>
      </c>
      <c r="I90" s="57" t="s">
        <v>98</v>
      </c>
      <c r="J90" s="57" t="s">
        <v>151</v>
      </c>
      <c r="K90" s="60" t="s">
        <v>97</v>
      </c>
      <c r="L90" s="57" t="s">
        <v>98</v>
      </c>
      <c r="M90" s="57" t="s">
        <v>151</v>
      </c>
    </row>
    <row r="91" spans="1:13" x14ac:dyDescent="0.25">
      <c r="A91" s="54">
        <v>1</v>
      </c>
      <c r="B91" s="54" t="s">
        <v>152</v>
      </c>
      <c r="C91" s="54"/>
      <c r="D91" s="55" t="s">
        <v>153</v>
      </c>
      <c r="E91" s="56">
        <v>2</v>
      </c>
      <c r="F91" s="56">
        <v>0</v>
      </c>
      <c r="G91" s="59">
        <f>F91*E91</f>
        <v>0</v>
      </c>
      <c r="H91" s="61">
        <v>2</v>
      </c>
      <c r="I91" s="56">
        <v>0</v>
      </c>
      <c r="J91" s="56">
        <f>I91*H91</f>
        <v>0</v>
      </c>
      <c r="K91" s="61">
        <v>2</v>
      </c>
      <c r="L91" s="56">
        <v>0</v>
      </c>
      <c r="M91" s="56">
        <f>L91*K91</f>
        <v>0</v>
      </c>
    </row>
    <row r="92" spans="1:13" ht="22.5" x14ac:dyDescent="0.25">
      <c r="A92" s="54">
        <v>2</v>
      </c>
      <c r="B92" s="54" t="s">
        <v>154</v>
      </c>
      <c r="C92" s="54"/>
      <c r="D92" s="55" t="s">
        <v>155</v>
      </c>
      <c r="E92" s="56">
        <v>2</v>
      </c>
      <c r="F92" s="56">
        <v>0</v>
      </c>
      <c r="G92" s="59">
        <f>F92*E92</f>
        <v>0</v>
      </c>
      <c r="H92" s="61">
        <v>2</v>
      </c>
      <c r="I92" s="56">
        <v>0</v>
      </c>
      <c r="J92" s="56">
        <f>I92*H92</f>
        <v>0</v>
      </c>
      <c r="K92" s="61">
        <v>2</v>
      </c>
      <c r="L92" s="56">
        <v>0</v>
      </c>
      <c r="M92" s="56">
        <f>L92*K92</f>
        <v>0</v>
      </c>
    </row>
    <row r="93" spans="1:13" ht="22.5" x14ac:dyDescent="0.25">
      <c r="A93" s="54">
        <v>3</v>
      </c>
      <c r="B93" s="54" t="s">
        <v>156</v>
      </c>
      <c r="C93" s="54"/>
      <c r="D93" s="55" t="s">
        <v>157</v>
      </c>
      <c r="E93" s="56">
        <v>3</v>
      </c>
      <c r="F93" s="56">
        <v>100</v>
      </c>
      <c r="G93" s="59">
        <f>F93*E93</f>
        <v>300</v>
      </c>
      <c r="H93" s="61">
        <v>3</v>
      </c>
      <c r="I93" s="56">
        <v>100</v>
      </c>
      <c r="J93" s="56">
        <f>I93*H93</f>
        <v>300</v>
      </c>
      <c r="K93" s="61">
        <v>3</v>
      </c>
      <c r="L93" s="56">
        <v>100</v>
      </c>
      <c r="M93" s="56">
        <f>L93*K93</f>
        <v>300</v>
      </c>
    </row>
    <row r="94" spans="1:13" ht="22.5" x14ac:dyDescent="0.25">
      <c r="A94" s="54">
        <v>4</v>
      </c>
      <c r="B94" s="54" t="s">
        <v>158</v>
      </c>
      <c r="C94" s="54"/>
      <c r="D94" s="55" t="s">
        <v>159</v>
      </c>
      <c r="E94" s="56">
        <v>2</v>
      </c>
      <c r="F94" s="56">
        <v>20</v>
      </c>
      <c r="G94" s="59">
        <f>F94*E94</f>
        <v>40</v>
      </c>
      <c r="H94" s="61">
        <v>2</v>
      </c>
      <c r="I94" s="56">
        <v>40</v>
      </c>
      <c r="J94" s="56">
        <f>I94*H94</f>
        <v>80</v>
      </c>
      <c r="K94" s="61">
        <v>2</v>
      </c>
      <c r="L94" s="56">
        <v>40</v>
      </c>
      <c r="M94" s="56">
        <f>L94*K94</f>
        <v>80</v>
      </c>
    </row>
    <row r="95" spans="1:13" ht="22.5" x14ac:dyDescent="0.25">
      <c r="A95" s="54">
        <v>4</v>
      </c>
      <c r="B95" s="54" t="s">
        <v>163</v>
      </c>
      <c r="C95" s="54"/>
      <c r="D95" s="55" t="s">
        <v>164</v>
      </c>
      <c r="E95" s="56">
        <v>3</v>
      </c>
      <c r="F95" s="56">
        <v>0</v>
      </c>
      <c r="G95" s="59">
        <f>F95*E95</f>
        <v>0</v>
      </c>
      <c r="H95" s="61">
        <v>3</v>
      </c>
      <c r="I95" s="56">
        <v>40</v>
      </c>
      <c r="J95" s="56">
        <f>I95*H95</f>
        <v>120</v>
      </c>
      <c r="K95" s="61">
        <v>3</v>
      </c>
      <c r="L95" s="56">
        <v>40</v>
      </c>
      <c r="M95" s="56">
        <f>L95*K95</f>
        <v>120</v>
      </c>
    </row>
  </sheetData>
  <autoFilter ref="A2:G87"/>
  <mergeCells count="4">
    <mergeCell ref="A1:G1"/>
    <mergeCell ref="E89:G89"/>
    <mergeCell ref="K89:M89"/>
    <mergeCell ref="H89:J89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Celkový rozpočet</vt:lpstr>
      <vt:lpstr>Final</vt:lpstr>
      <vt:lpstr>TCF</vt:lpstr>
      <vt:lpstr>ECF</vt:lpstr>
      <vt:lpstr>UUCP</vt:lpstr>
      <vt:lpstr>UC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Matejovič Tomáš</dc:creator>
  <dc:description/>
  <cp:lastModifiedBy>Papol Ján</cp:lastModifiedBy>
  <cp:revision>4</cp:revision>
  <dcterms:created xsi:type="dcterms:W3CDTF">2019-03-12T12:56:24Z</dcterms:created>
  <dcterms:modified xsi:type="dcterms:W3CDTF">2020-10-15T07:32:28Z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